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E:\Statistiques pour le Site -renseignées\"/>
    </mc:Choice>
  </mc:AlternateContent>
  <xr:revisionPtr revIDLastSave="0" documentId="13_ncr:1_{7EF3F760-E5DC-427E-AD76-96ED24E934C4}" xr6:coauthVersionLast="36" xr6:coauthVersionMax="36" xr10:uidLastSave="{00000000-0000-0000-0000-000000000000}"/>
  <bookViews>
    <workbookView xWindow="0" yWindow="0" windowWidth="11955" windowHeight="5235" xr2:uid="{00000000-000D-0000-FFFF-FFFF00000000}"/>
  </bookViews>
  <sheets>
    <sheet name="Risques par secteur d'activité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5" i="2" l="1"/>
  <c r="AL47" i="2"/>
  <c r="AL49" i="2"/>
  <c r="AL51" i="2"/>
  <c r="AL53" i="2"/>
  <c r="AL55" i="2"/>
  <c r="AI55" i="2" l="1"/>
  <c r="Y55" i="2"/>
  <c r="W55" i="2"/>
  <c r="O55" i="2"/>
  <c r="P55" i="2" s="1"/>
  <c r="M55" i="2"/>
  <c r="K55" i="2"/>
  <c r="AK55" i="2" s="1"/>
  <c r="AI53" i="2"/>
  <c r="Y53" i="2"/>
  <c r="W53" i="2"/>
  <c r="O53" i="2"/>
  <c r="M53" i="2"/>
  <c r="K53" i="2"/>
  <c r="AK53" i="2" s="1"/>
  <c r="AI51" i="2"/>
  <c r="Y51" i="2"/>
  <c r="W51" i="2"/>
  <c r="O51" i="2"/>
  <c r="P51" i="2" s="1"/>
  <c r="M51" i="2"/>
  <c r="K51" i="2"/>
  <c r="AK51" i="2" s="1"/>
  <c r="AI49" i="2"/>
  <c r="Y49" i="2"/>
  <c r="W49" i="2"/>
  <c r="Q49" i="2"/>
  <c r="R49" i="2" s="1"/>
  <c r="O49" i="2"/>
  <c r="M49" i="2"/>
  <c r="N49" i="2" s="1"/>
  <c r="K49" i="2"/>
  <c r="AK49" i="2" s="1"/>
  <c r="AI47" i="2"/>
  <c r="AJ47" i="2" s="1"/>
  <c r="Y47" i="2"/>
  <c r="W47" i="2"/>
  <c r="X47" i="2" s="1"/>
  <c r="O47" i="2"/>
  <c r="M47" i="2"/>
  <c r="N47" i="2" s="1"/>
  <c r="K47" i="2"/>
  <c r="AK47" i="2" s="1"/>
  <c r="AI45" i="2"/>
  <c r="Y45" i="2"/>
  <c r="W45" i="2"/>
  <c r="O45" i="2"/>
  <c r="M45" i="2"/>
  <c r="AK45" i="2" s="1"/>
  <c r="AI43" i="2"/>
  <c r="Y43" i="2"/>
  <c r="W43" i="2"/>
  <c r="O43" i="2"/>
  <c r="P43" i="2" s="1"/>
  <c r="M43" i="2"/>
  <c r="K43" i="2"/>
  <c r="AK43" i="2" s="1"/>
  <c r="AI41" i="2"/>
  <c r="Y41" i="2"/>
  <c r="W41" i="2"/>
  <c r="O41" i="2"/>
  <c r="M41" i="2"/>
  <c r="K41" i="2"/>
  <c r="AK41" i="2" s="1"/>
  <c r="AI39" i="2"/>
  <c r="Y39" i="2"/>
  <c r="W39" i="2"/>
  <c r="O39" i="2"/>
  <c r="P39" i="2" s="1"/>
  <c r="M39" i="2"/>
  <c r="K39" i="2"/>
  <c r="AK39" i="2" s="1"/>
  <c r="AI37" i="2"/>
  <c r="Y37" i="2"/>
  <c r="W37" i="2"/>
  <c r="O37" i="2"/>
  <c r="M37" i="2"/>
  <c r="K37" i="2"/>
  <c r="AK37" i="2" s="1"/>
  <c r="AI35" i="2"/>
  <c r="Y35" i="2"/>
  <c r="W35" i="2"/>
  <c r="O35" i="2"/>
  <c r="P35" i="2" s="1"/>
  <c r="M35" i="2"/>
  <c r="K35" i="2"/>
  <c r="AK35" i="2" s="1"/>
  <c r="AI33" i="2"/>
  <c r="Y33" i="2"/>
  <c r="W33" i="2"/>
  <c r="O33" i="2"/>
  <c r="M33" i="2"/>
  <c r="K33" i="2"/>
  <c r="AH45" i="2" l="1"/>
  <c r="V45" i="2"/>
  <c r="J45" i="2"/>
  <c r="AB45" i="2"/>
  <c r="L45" i="2"/>
  <c r="AF45" i="2"/>
  <c r="T45" i="2"/>
  <c r="H45" i="2"/>
  <c r="P45" i="2"/>
  <c r="D45" i="2"/>
  <c r="AD45" i="2"/>
  <c r="R45" i="2"/>
  <c r="F45" i="2"/>
  <c r="AF53" i="2"/>
  <c r="T53" i="2"/>
  <c r="N53" i="2"/>
  <c r="J53" i="2"/>
  <c r="AH53" i="2"/>
  <c r="V53" i="2"/>
  <c r="AD53" i="2"/>
  <c r="R53" i="2"/>
  <c r="H53" i="2"/>
  <c r="Z53" i="2"/>
  <c r="AB53" i="2"/>
  <c r="F53" i="2"/>
  <c r="D53" i="2"/>
  <c r="X35" i="2"/>
  <c r="AJ37" i="2"/>
  <c r="X39" i="2"/>
  <c r="AJ41" i="2"/>
  <c r="X43" i="2"/>
  <c r="AH47" i="2"/>
  <c r="Z47" i="2"/>
  <c r="V47" i="2"/>
  <c r="D47" i="2"/>
  <c r="P47" i="2"/>
  <c r="AF47" i="2"/>
  <c r="T47" i="2"/>
  <c r="J47" i="2"/>
  <c r="AB47" i="2"/>
  <c r="F47" i="2"/>
  <c r="AD47" i="2"/>
  <c r="R47" i="2"/>
  <c r="H47" i="2"/>
  <c r="L47" i="2"/>
  <c r="AJ49" i="2"/>
  <c r="X51" i="2"/>
  <c r="AJ53" i="2"/>
  <c r="X55" i="2"/>
  <c r="AF41" i="2"/>
  <c r="T41" i="2"/>
  <c r="N41" i="2"/>
  <c r="J41" i="2"/>
  <c r="Z41" i="2"/>
  <c r="D41" i="2"/>
  <c r="AD41" i="2"/>
  <c r="R41" i="2"/>
  <c r="H41" i="2"/>
  <c r="V41" i="2"/>
  <c r="AB41" i="2"/>
  <c r="F41" i="2"/>
  <c r="AH41" i="2"/>
  <c r="AJ45" i="2"/>
  <c r="AF35" i="2"/>
  <c r="T35" i="2"/>
  <c r="N35" i="2"/>
  <c r="J35" i="2"/>
  <c r="AH35" i="2"/>
  <c r="AD35" i="2"/>
  <c r="R35" i="2"/>
  <c r="H35" i="2"/>
  <c r="Z35" i="2"/>
  <c r="D35" i="2"/>
  <c r="AB35" i="2"/>
  <c r="F35" i="2"/>
  <c r="V35" i="2"/>
  <c r="P37" i="2"/>
  <c r="AF43" i="2"/>
  <c r="T43" i="2"/>
  <c r="N43" i="2"/>
  <c r="J43" i="2"/>
  <c r="AH43" i="2"/>
  <c r="AD43" i="2"/>
  <c r="R43" i="2"/>
  <c r="H43" i="2"/>
  <c r="Z43" i="2"/>
  <c r="V43" i="2"/>
  <c r="D43" i="2"/>
  <c r="AB43" i="2"/>
  <c r="F43" i="2"/>
  <c r="X45" i="2"/>
  <c r="AF51" i="2"/>
  <c r="T51" i="2"/>
  <c r="N51" i="2"/>
  <c r="J51" i="2"/>
  <c r="Z51" i="2"/>
  <c r="D51" i="2"/>
  <c r="AD51" i="2"/>
  <c r="R51" i="2"/>
  <c r="H51" i="2"/>
  <c r="AH51" i="2"/>
  <c r="V51" i="2"/>
  <c r="AB51" i="2"/>
  <c r="F51" i="2"/>
  <c r="P53" i="2"/>
  <c r="AF55" i="2"/>
  <c r="T55" i="2"/>
  <c r="N55" i="2"/>
  <c r="J55" i="2"/>
  <c r="V55" i="2"/>
  <c r="AD55" i="2"/>
  <c r="R55" i="2"/>
  <c r="H55" i="2"/>
  <c r="AH55" i="2"/>
  <c r="D55" i="2"/>
  <c r="AB55" i="2"/>
  <c r="F55" i="2"/>
  <c r="Z55" i="2"/>
  <c r="AF37" i="2"/>
  <c r="T37" i="2"/>
  <c r="N37" i="2"/>
  <c r="J37" i="2"/>
  <c r="Z37" i="2"/>
  <c r="AD37" i="2"/>
  <c r="R37" i="2"/>
  <c r="H37" i="2"/>
  <c r="AH37" i="2"/>
  <c r="D37" i="2"/>
  <c r="AB37" i="2"/>
  <c r="F37" i="2"/>
  <c r="V37" i="2"/>
  <c r="AK33" i="2"/>
  <c r="AJ33" i="2" s="1"/>
  <c r="L33" i="2"/>
  <c r="X33" i="2"/>
  <c r="AF39" i="2"/>
  <c r="T39" i="2"/>
  <c r="N39" i="2"/>
  <c r="J39" i="2"/>
  <c r="Z39" i="2"/>
  <c r="D39" i="2"/>
  <c r="AD39" i="2"/>
  <c r="R39" i="2"/>
  <c r="H39" i="2"/>
  <c r="AH39" i="2"/>
  <c r="V39" i="2"/>
  <c r="AB39" i="2"/>
  <c r="F39" i="2"/>
  <c r="P41" i="2"/>
  <c r="AJ35" i="2"/>
  <c r="X37" i="2"/>
  <c r="AJ39" i="2"/>
  <c r="X41" i="2"/>
  <c r="AJ43" i="2"/>
  <c r="Z45" i="2"/>
  <c r="AF49" i="2"/>
  <c r="T49" i="2"/>
  <c r="D49" i="2"/>
  <c r="Z49" i="2"/>
  <c r="P49" i="2"/>
  <c r="L49" i="2"/>
  <c r="AD49" i="2"/>
  <c r="J49" i="2"/>
  <c r="AH49" i="2"/>
  <c r="V49" i="2"/>
  <c r="F49" i="2"/>
  <c r="AB49" i="2"/>
  <c r="H49" i="2"/>
  <c r="X49" i="2"/>
  <c r="AJ51" i="2"/>
  <c r="X53" i="2"/>
  <c r="AJ55" i="2"/>
  <c r="L35" i="2"/>
  <c r="L37" i="2"/>
  <c r="L39" i="2"/>
  <c r="L41" i="2"/>
  <c r="L43" i="2"/>
  <c r="L51" i="2"/>
  <c r="L53" i="2"/>
  <c r="L55" i="2"/>
  <c r="N45" i="2"/>
  <c r="P33" i="2" l="1"/>
  <c r="AF33" i="2"/>
  <c r="T33" i="2"/>
  <c r="N33" i="2"/>
  <c r="J33" i="2"/>
  <c r="AD33" i="2"/>
  <c r="R33" i="2"/>
  <c r="H33" i="2"/>
  <c r="F33" i="2"/>
  <c r="AB33" i="2"/>
  <c r="AH33" i="2"/>
  <c r="Z33" i="2"/>
  <c r="V33" i="2"/>
  <c r="D33" i="2"/>
  <c r="AL8" i="2" l="1"/>
  <c r="AL9" i="2"/>
  <c r="AL10" i="2"/>
  <c r="AL11" i="2"/>
  <c r="AL12" i="2"/>
  <c r="AL13" i="2"/>
  <c r="AL14" i="2"/>
  <c r="AL15" i="2"/>
  <c r="AL16" i="2"/>
  <c r="AL17" i="2"/>
  <c r="AL18" i="2"/>
  <c r="AL19" i="2"/>
  <c r="AL7" i="2"/>
  <c r="E57" i="2"/>
  <c r="G57" i="2"/>
  <c r="I57" i="2"/>
  <c r="Q57" i="2"/>
  <c r="S57" i="2"/>
  <c r="U57" i="2"/>
  <c r="AA57" i="2"/>
  <c r="AC57" i="2"/>
  <c r="AE57" i="2"/>
  <c r="AG57" i="2"/>
  <c r="C57" i="2"/>
  <c r="M8" i="2"/>
  <c r="M9" i="2"/>
  <c r="M10" i="2"/>
  <c r="M11" i="2"/>
  <c r="M12" i="2"/>
  <c r="M13" i="2"/>
  <c r="M14" i="2"/>
  <c r="M15" i="2"/>
  <c r="M16" i="2"/>
  <c r="M17" i="2"/>
  <c r="M18" i="2"/>
  <c r="M7" i="2"/>
  <c r="M19" i="2" s="1"/>
  <c r="O8" i="2"/>
  <c r="O9" i="2"/>
  <c r="O10" i="2"/>
  <c r="O11" i="2"/>
  <c r="O12" i="2"/>
  <c r="O13" i="2"/>
  <c r="O14" i="2"/>
  <c r="O15" i="2"/>
  <c r="O16" i="2"/>
  <c r="O17" i="2"/>
  <c r="O18" i="2"/>
  <c r="O7" i="2"/>
  <c r="O19" i="2" s="1"/>
  <c r="Q8" i="2"/>
  <c r="Q9" i="2"/>
  <c r="Q10" i="2"/>
  <c r="Q11" i="2"/>
  <c r="Q12" i="2"/>
  <c r="Q13" i="2"/>
  <c r="Q14" i="2"/>
  <c r="Q15" i="2"/>
  <c r="Q16" i="2"/>
  <c r="Q17" i="2"/>
  <c r="Q18" i="2"/>
  <c r="Q7" i="2"/>
  <c r="Q19" i="2" s="1"/>
  <c r="S8" i="2"/>
  <c r="S9" i="2"/>
  <c r="S10" i="2"/>
  <c r="S11" i="2"/>
  <c r="S12" i="2"/>
  <c r="S13" i="2"/>
  <c r="S14" i="2"/>
  <c r="S15" i="2"/>
  <c r="S16" i="2"/>
  <c r="S17" i="2"/>
  <c r="S18" i="2"/>
  <c r="S7" i="2"/>
  <c r="S19" i="2" s="1"/>
  <c r="U8" i="2"/>
  <c r="U9" i="2"/>
  <c r="U10" i="2"/>
  <c r="U11" i="2"/>
  <c r="U12" i="2"/>
  <c r="U13" i="2"/>
  <c r="U14" i="2"/>
  <c r="U15" i="2"/>
  <c r="U16" i="2"/>
  <c r="U17" i="2"/>
  <c r="U18" i="2"/>
  <c r="U7" i="2"/>
  <c r="U19" i="2" s="1"/>
  <c r="W8" i="2"/>
  <c r="W9" i="2"/>
  <c r="W10" i="2"/>
  <c r="W11" i="2"/>
  <c r="W12" i="2"/>
  <c r="W13" i="2"/>
  <c r="W14" i="2"/>
  <c r="W15" i="2"/>
  <c r="W16" i="2"/>
  <c r="W17" i="2"/>
  <c r="W18" i="2"/>
  <c r="W7" i="2"/>
  <c r="W19" i="2" s="1"/>
  <c r="Y8" i="2"/>
  <c r="Y9" i="2"/>
  <c r="Y10" i="2"/>
  <c r="Y11" i="2"/>
  <c r="Y12" i="2"/>
  <c r="Y13" i="2"/>
  <c r="Y14" i="2"/>
  <c r="Y15" i="2"/>
  <c r="Y16" i="2"/>
  <c r="Y17" i="2"/>
  <c r="Y18" i="2"/>
  <c r="Y7" i="2"/>
  <c r="Y19" i="2" s="1"/>
  <c r="AA8" i="2"/>
  <c r="AA9" i="2"/>
  <c r="AA10" i="2"/>
  <c r="AA11" i="2"/>
  <c r="AA12" i="2"/>
  <c r="AA13" i="2"/>
  <c r="AA14" i="2"/>
  <c r="AA15" i="2"/>
  <c r="AA16" i="2"/>
  <c r="AA17" i="2"/>
  <c r="AA18" i="2"/>
  <c r="AA7" i="2"/>
  <c r="AA19" i="2" s="1"/>
  <c r="AC8" i="2"/>
  <c r="AC9" i="2"/>
  <c r="AC10" i="2"/>
  <c r="AC11" i="2"/>
  <c r="AC12" i="2"/>
  <c r="AC13" i="2"/>
  <c r="AC14" i="2"/>
  <c r="AC15" i="2"/>
  <c r="AC16" i="2"/>
  <c r="AC17" i="2"/>
  <c r="AC18" i="2"/>
  <c r="AC7" i="2"/>
  <c r="AC19" i="2" s="1"/>
  <c r="AE8" i="2"/>
  <c r="AE9" i="2"/>
  <c r="AE10" i="2"/>
  <c r="AE11" i="2"/>
  <c r="AE12" i="2"/>
  <c r="AE13" i="2"/>
  <c r="AE14" i="2"/>
  <c r="AE15" i="2"/>
  <c r="AE16" i="2"/>
  <c r="AE17" i="2"/>
  <c r="AE18" i="2"/>
  <c r="AE7" i="2"/>
  <c r="AE19" i="2" s="1"/>
  <c r="AG8" i="2"/>
  <c r="AG9" i="2"/>
  <c r="AG10" i="2"/>
  <c r="AG11" i="2"/>
  <c r="AG12" i="2"/>
  <c r="AG13" i="2"/>
  <c r="AG14" i="2"/>
  <c r="AG15" i="2"/>
  <c r="AG16" i="2"/>
  <c r="AG17" i="2"/>
  <c r="AG18" i="2"/>
  <c r="AG7" i="2"/>
  <c r="AG19" i="2" s="1"/>
  <c r="AI8" i="2"/>
  <c r="AI9" i="2"/>
  <c r="AI10" i="2"/>
  <c r="AI11" i="2"/>
  <c r="AI12" i="2"/>
  <c r="AI13" i="2"/>
  <c r="AI14" i="2"/>
  <c r="AI15" i="2"/>
  <c r="AI16" i="2"/>
  <c r="AI17" i="2"/>
  <c r="AI18" i="2"/>
  <c r="AI7" i="2"/>
  <c r="K8" i="2"/>
  <c r="K9" i="2"/>
  <c r="K10" i="2"/>
  <c r="K11" i="2"/>
  <c r="K12" i="2"/>
  <c r="K13" i="2"/>
  <c r="K14" i="2"/>
  <c r="K15" i="2"/>
  <c r="K16" i="2"/>
  <c r="K17" i="2"/>
  <c r="K18" i="2"/>
  <c r="K7" i="2"/>
  <c r="I8" i="2"/>
  <c r="I9" i="2"/>
  <c r="I10" i="2"/>
  <c r="I11" i="2"/>
  <c r="I12" i="2"/>
  <c r="I13" i="2"/>
  <c r="I14" i="2"/>
  <c r="I15" i="2"/>
  <c r="I16" i="2"/>
  <c r="I17" i="2"/>
  <c r="I18" i="2"/>
  <c r="I7" i="2"/>
  <c r="G8" i="2"/>
  <c r="G9" i="2"/>
  <c r="G10" i="2"/>
  <c r="G11" i="2"/>
  <c r="G12" i="2"/>
  <c r="G13" i="2"/>
  <c r="G14" i="2"/>
  <c r="G15" i="2"/>
  <c r="G16" i="2"/>
  <c r="G17" i="2"/>
  <c r="G18" i="2"/>
  <c r="G7" i="2"/>
  <c r="E8" i="2"/>
  <c r="E9" i="2"/>
  <c r="E10" i="2"/>
  <c r="E11" i="2"/>
  <c r="E12" i="2"/>
  <c r="E13" i="2"/>
  <c r="E14" i="2"/>
  <c r="E15" i="2"/>
  <c r="E16" i="2"/>
  <c r="E17" i="2"/>
  <c r="E18" i="2"/>
  <c r="E7" i="2"/>
  <c r="C8" i="2"/>
  <c r="C9" i="2"/>
  <c r="C10" i="2"/>
  <c r="C11" i="2"/>
  <c r="C12" i="2"/>
  <c r="C13" i="2"/>
  <c r="C14" i="2"/>
  <c r="C15" i="2"/>
  <c r="C16" i="2"/>
  <c r="C17" i="2"/>
  <c r="C18" i="2"/>
  <c r="C7" i="2"/>
  <c r="C19" i="2" l="1"/>
  <c r="E19" i="2"/>
  <c r="G19" i="2"/>
  <c r="I19" i="2"/>
  <c r="K19" i="2"/>
  <c r="AI19" i="2"/>
  <c r="M57" i="2"/>
  <c r="Y57" i="2"/>
  <c r="AI57" i="2" l="1"/>
  <c r="O57" i="2"/>
  <c r="K57" i="2"/>
  <c r="W57" i="2"/>
  <c r="AK57" i="2" l="1"/>
  <c r="P57" i="2" l="1"/>
  <c r="AL43" i="2"/>
  <c r="AL41" i="2"/>
  <c r="AL39" i="2"/>
  <c r="AL37" i="2"/>
  <c r="AL35" i="2"/>
  <c r="AL33" i="2"/>
</calcChain>
</file>

<file path=xl/sharedStrings.xml><?xml version="1.0" encoding="utf-8"?>
<sst xmlns="http://schemas.openxmlformats.org/spreadsheetml/2006/main" count="135" uniqueCount="40">
  <si>
    <t>Période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</si>
  <si>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</si>
  <si>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</si>
  <si>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</si>
  <si>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</si>
  <si>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</si>
  <si>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</si>
  <si>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</si>
  <si>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</si>
  <si>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</si>
  <si>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</si>
  <si>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</si>
  <si>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</si>
  <si>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</si>
  <si>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</si>
  <si>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Act. Ménage employeur de personne domestique</t>
  </si>
  <si>
    <t>Act. à caractère collectif ou personnel</t>
  </si>
  <si>
    <t>Activités de services santé</t>
  </si>
  <si>
    <t xml:space="preserve">Activités extractives </t>
  </si>
  <si>
    <t>Activités d’administration publique</t>
  </si>
  <si>
    <t>Agriculture /Elevage /Chasse / Annexes</t>
  </si>
  <si>
    <t>Commerce et Réparation</t>
  </si>
  <si>
    <t>Construction</t>
  </si>
  <si>
    <t>Education</t>
  </si>
  <si>
    <t>Fabrication d’Autres Produits Manufacturiers</t>
  </si>
  <si>
    <t>Fabrication produits alimentaires boissons &amp; tabac</t>
  </si>
  <si>
    <t>Hôtels et Restaurants</t>
  </si>
  <si>
    <t>Immobiliers. Services aux Entreprises</t>
  </si>
  <si>
    <t>Intermédiation Financière</t>
  </si>
  <si>
    <t>Production &amp; Distribution Eau, Electricité, Gaz</t>
  </si>
  <si>
    <t>Transport et Communication</t>
  </si>
  <si>
    <t>Autres</t>
  </si>
  <si>
    <t>TOTAL GENERAL</t>
  </si>
  <si>
    <t>Montant</t>
  </si>
  <si>
    <t>part</t>
  </si>
  <si>
    <t>Aout</t>
  </si>
  <si>
    <t>Evolution des risques clients par secteurs d'activités en pourcentage de Janv-19à juin-19</t>
  </si>
  <si>
    <t>Total</t>
  </si>
  <si>
    <t>%</t>
  </si>
  <si>
    <t>Risques par secteur d'activité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</si>
</sst>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10" fontId="0" fillId="0" borderId="1" xfId="0" applyNumberFormat="1" applyBorder="1"/>
    <xf numFmtId="10" fontId="0" fillId="0" borderId="1" xfId="0" applyNumberFormat="1" applyFill="1" applyBorder="1"/>
    <xf numFmtId="9" fontId="0" fillId="0" borderId="0" xfId="0" applyNumberFormat="1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8" fillId="0" borderId="1" xfId="0" applyNumberFormat="1" applyFont="1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10" fillId="0" borderId="2" xfId="1" applyNumberFormat="1" applyFont="1" applyBorder="1" applyAlignment="1">
      <alignment horizontal="center"/>
    </xf>
    <xf numFmtId="10" fontId="10" fillId="0" borderId="3" xfId="1" applyNumberFormat="1" applyFont="1" applyBorder="1" applyAlignment="1">
      <alignment horizontal="center"/>
    </xf>
    <xf numFmtId="164" fontId="10" fillId="0" borderId="2" xfId="2" applyNumberFormat="1" applyFont="1" applyBorder="1" applyAlignment="1">
      <alignment horizontal="center"/>
    </xf>
    <xf numFmtId="164" fontId="10" fillId="0" borderId="3" xfId="2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10" fillId="0" borderId="2" xfId="3" applyNumberFormat="1" applyFont="1" applyBorder="1" applyAlignment="1">
      <alignment horizontal="center"/>
    </xf>
    <xf numFmtId="0" fontId="10" fillId="0" borderId="3" xfId="3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">
    <cellStyle name="Milliers" xfId="2" builtinId="3"/>
    <cellStyle name="Monétaire" xfId="3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57"/>
  <sheetViews>
    <sheetView tabSelected="1" zoomScale="80" zoomScaleNormal="80" workbookViewId="0">
      <pane xSplit="2" ySplit="6" topLeftCell="Z34" activePane="bottomRight" state="frozen"/>
      <selection pane="topRight" activeCell="C1" sqref="C1"/>
      <selection pane="bottomLeft" activeCell="A7" sqref="A7"/>
      <selection pane="bottomRight" activeCell="AH39" sqref="AH39:AH40"/>
    </sheetView>
  </sheetViews>
  <sheetFormatPr baseColWidth="10" defaultRowHeight="15" x14ac:dyDescent="0.25"/>
  <cols>
    <col min="1" max="1" width="12.140625" customWidth="1"/>
    <col min="2" max="2" width="13.7109375" style="2" customWidth="1"/>
    <col min="4" max="4" width="11" customWidth="1"/>
    <col min="5" max="5" width="12.140625" bestFit="1" customWidth="1"/>
    <col min="9" max="9" width="12.140625" bestFit="1" customWidth="1"/>
    <col min="11" max="11" width="19.28515625" customWidth="1"/>
    <col min="13" max="13" width="12.140625" bestFit="1" customWidth="1"/>
    <col min="15" max="15" width="14" customWidth="1"/>
    <col min="17" max="17" width="13.42578125" bestFit="1" customWidth="1"/>
    <col min="19" max="19" width="14.7109375" bestFit="1" customWidth="1"/>
    <col min="21" max="21" width="14.7109375" bestFit="1" customWidth="1"/>
    <col min="23" max="23" width="14.7109375" bestFit="1" customWidth="1"/>
    <col min="25" max="25" width="14.7109375" bestFit="1" customWidth="1"/>
    <col min="27" max="27" width="14.85546875" bestFit="1" customWidth="1"/>
    <col min="29" max="29" width="14.85546875" bestFit="1" customWidth="1"/>
    <col min="31" max="31" width="16.42578125" bestFit="1" customWidth="1"/>
    <col min="33" max="33" width="18.85546875" bestFit="1" customWidth="1"/>
    <col min="35" max="35" width="16.42578125" bestFit="1" customWidth="1"/>
    <col min="37" max="37" width="18.85546875" bestFit="1" customWidth="1"/>
  </cols>
  <sheetData>
    <row r="2" spans="1:38" ht="23.25" x14ac:dyDescent="0.35">
      <c r="A2" s="27" t="s">
        <v>39</v>
      </c>
    </row>
    <row r="4" spans="1:38" ht="18.75" customHeight="1" x14ac:dyDescent="0.3">
      <c r="A4" s="33" t="s">
        <v>0</v>
      </c>
      <c r="B4" s="33"/>
      <c r="C4" s="29" t="s">
        <v>15</v>
      </c>
      <c r="D4" s="29"/>
      <c r="E4" s="29" t="s">
        <v>16</v>
      </c>
      <c r="F4" s="29"/>
      <c r="G4" s="30" t="s">
        <v>17</v>
      </c>
      <c r="H4" s="30"/>
      <c r="I4" s="29" t="s">
        <v>18</v>
      </c>
      <c r="J4" s="29"/>
      <c r="K4" s="30" t="s">
        <v>19</v>
      </c>
      <c r="L4" s="30"/>
      <c r="M4" s="30" t="s">
        <v>20</v>
      </c>
      <c r="N4" s="30"/>
      <c r="O4" s="29" t="s">
        <v>21</v>
      </c>
      <c r="P4" s="29"/>
      <c r="Q4" s="29" t="s">
        <v>22</v>
      </c>
      <c r="R4" s="29"/>
      <c r="S4" s="29" t="s">
        <v>23</v>
      </c>
      <c r="T4" s="29"/>
      <c r="U4" s="30" t="s">
        <v>24</v>
      </c>
      <c r="V4" s="30"/>
      <c r="W4" s="31" t="s">
        <v>25</v>
      </c>
      <c r="X4" s="31"/>
      <c r="Y4" s="32" t="s">
        <v>26</v>
      </c>
      <c r="Z4" s="32"/>
      <c r="AA4" s="30" t="s">
        <v>27</v>
      </c>
      <c r="AB4" s="30"/>
      <c r="AC4" s="29" t="s">
        <v>28</v>
      </c>
      <c r="AD4" s="29"/>
      <c r="AE4" s="30" t="s">
        <v>29</v>
      </c>
      <c r="AF4" s="30"/>
      <c r="AG4" s="29" t="s">
        <v>30</v>
      </c>
      <c r="AH4" s="29"/>
      <c r="AI4" s="32" t="s">
        <v>31</v>
      </c>
      <c r="AJ4" s="32"/>
      <c r="AK4" s="29" t="s">
        <v>32</v>
      </c>
      <c r="AL4" s="29"/>
    </row>
    <row r="5" spans="1:38" ht="18.75" x14ac:dyDescent="0.25">
      <c r="A5" s="4" t="s">
        <v>14</v>
      </c>
      <c r="B5" s="4" t="s">
        <v>1</v>
      </c>
      <c r="C5" s="29"/>
      <c r="D5" s="29"/>
      <c r="E5" s="29"/>
      <c r="F5" s="29"/>
      <c r="G5" s="30"/>
      <c r="H5" s="30"/>
      <c r="I5" s="29"/>
      <c r="J5" s="29"/>
      <c r="K5" s="30"/>
      <c r="L5" s="30"/>
      <c r="M5" s="30"/>
      <c r="N5" s="30"/>
      <c r="O5" s="29"/>
      <c r="P5" s="29"/>
      <c r="Q5" s="29"/>
      <c r="R5" s="29"/>
      <c r="S5" s="29"/>
      <c r="T5" s="29"/>
      <c r="U5" s="30"/>
      <c r="V5" s="30"/>
      <c r="W5" s="31"/>
      <c r="X5" s="31"/>
      <c r="Y5" s="32"/>
      <c r="Z5" s="32"/>
      <c r="AA5" s="30"/>
      <c r="AB5" s="30"/>
      <c r="AC5" s="29"/>
      <c r="AD5" s="29"/>
      <c r="AE5" s="30"/>
      <c r="AF5" s="30"/>
      <c r="AG5" s="29"/>
      <c r="AH5" s="29"/>
      <c r="AI5" s="32"/>
      <c r="AJ5" s="32"/>
      <c r="AK5" s="29"/>
      <c r="AL5" s="29"/>
    </row>
    <row r="6" spans="1:38" ht="18.75" x14ac:dyDescent="0.3">
      <c r="A6" s="4"/>
      <c r="B6" s="4"/>
      <c r="C6" s="9" t="s">
        <v>33</v>
      </c>
      <c r="D6" s="9" t="s">
        <v>34</v>
      </c>
      <c r="E6" s="9" t="s">
        <v>33</v>
      </c>
      <c r="F6" s="9"/>
      <c r="G6" s="10" t="s">
        <v>33</v>
      </c>
      <c r="H6" s="10"/>
      <c r="I6" s="9" t="s">
        <v>33</v>
      </c>
      <c r="J6" s="9"/>
      <c r="K6" s="10" t="s">
        <v>33</v>
      </c>
      <c r="L6" s="10"/>
      <c r="M6" s="10" t="s">
        <v>33</v>
      </c>
      <c r="N6" s="10"/>
      <c r="O6" s="9" t="s">
        <v>33</v>
      </c>
      <c r="P6" s="9"/>
      <c r="Q6" s="9" t="s">
        <v>33</v>
      </c>
      <c r="R6" s="9" t="s">
        <v>38</v>
      </c>
      <c r="S6" s="9" t="s">
        <v>33</v>
      </c>
      <c r="T6" s="13" t="s">
        <v>38</v>
      </c>
      <c r="U6" s="10" t="s">
        <v>33</v>
      </c>
      <c r="V6" s="13" t="s">
        <v>38</v>
      </c>
      <c r="W6" s="12" t="s">
        <v>33</v>
      </c>
      <c r="X6" s="13" t="s">
        <v>38</v>
      </c>
      <c r="Y6" s="11" t="s">
        <v>33</v>
      </c>
      <c r="Z6" s="13" t="s">
        <v>38</v>
      </c>
      <c r="AA6" s="10" t="s">
        <v>33</v>
      </c>
      <c r="AB6" s="13" t="s">
        <v>38</v>
      </c>
      <c r="AC6" s="9" t="s">
        <v>33</v>
      </c>
      <c r="AD6" s="13" t="s">
        <v>38</v>
      </c>
      <c r="AE6" s="10" t="s">
        <v>33</v>
      </c>
      <c r="AF6" s="13" t="s">
        <v>38</v>
      </c>
      <c r="AG6" s="9" t="s">
        <v>33</v>
      </c>
      <c r="AH6" s="13" t="s">
        <v>38</v>
      </c>
      <c r="AI6" s="11" t="s">
        <v>33</v>
      </c>
      <c r="AJ6" s="13" t="s">
        <v>38</v>
      </c>
      <c r="AK6" s="9" t="s">
        <v>33</v>
      </c>
      <c r="AL6" s="13" t="s">
        <v>38</v>
      </c>
    </row>
    <row r="7" spans="1:38" ht="18.75" x14ac:dyDescent="0.3">
      <c r="A7" s="28">
        <v>2018</v>
      </c>
      <c r="B7" s="3" t="s">
        <v>2</v>
      </c>
      <c r="C7" s="24">
        <f>+D7*AK7</f>
        <v>3307.4711999999995</v>
      </c>
      <c r="D7" s="21">
        <v>5.9999999999999995E-4</v>
      </c>
      <c r="E7" s="24">
        <f>+F7*AK7</f>
        <v>328542.13919999998</v>
      </c>
      <c r="F7" s="21">
        <v>5.96E-2</v>
      </c>
      <c r="G7" s="24">
        <f>+H7*AK7</f>
        <v>19844.8272</v>
      </c>
      <c r="H7" s="21">
        <v>3.5999999999999999E-3</v>
      </c>
      <c r="I7" s="24">
        <f>+J7*AK7</f>
        <v>49060.822800000002</v>
      </c>
      <c r="J7" s="21">
        <v>8.8999999999999999E-3</v>
      </c>
      <c r="K7" s="24">
        <f>+L7*AK7</f>
        <v>71661.876000000004</v>
      </c>
      <c r="L7" s="21">
        <v>1.2999999999999999E-2</v>
      </c>
      <c r="M7" s="24">
        <f>+N7*AK7</f>
        <v>190730.83919999999</v>
      </c>
      <c r="N7" s="21">
        <v>3.4599999999999999E-2</v>
      </c>
      <c r="O7" s="24">
        <f>+P7*AK7</f>
        <v>2082053.1203999999</v>
      </c>
      <c r="P7" s="21">
        <v>0.37769999999999998</v>
      </c>
      <c r="Q7" s="24">
        <f>+R7*AK7</f>
        <v>475173.36239999998</v>
      </c>
      <c r="R7" s="21">
        <v>8.6199999999999999E-2</v>
      </c>
      <c r="S7" s="24">
        <f>+T7*AK7</f>
        <v>52919.539199999992</v>
      </c>
      <c r="T7" s="21">
        <v>9.5999999999999992E-3</v>
      </c>
      <c r="U7" s="24">
        <f>+V7*AK7</f>
        <v>296018.67239999998</v>
      </c>
      <c r="V7" s="21">
        <v>5.3699999999999998E-2</v>
      </c>
      <c r="W7" s="24">
        <f>+X7*AK7</f>
        <v>133401.33840000001</v>
      </c>
      <c r="X7" s="21">
        <v>2.4199999999999999E-2</v>
      </c>
      <c r="Y7" s="24">
        <f>+Z7*AK7</f>
        <v>251367.8112</v>
      </c>
      <c r="Z7" s="21">
        <v>4.5600000000000002E-2</v>
      </c>
      <c r="AA7" s="24">
        <f>+AB7*AK7</f>
        <v>48509.577600000004</v>
      </c>
      <c r="AB7" s="21">
        <v>8.8000000000000005E-3</v>
      </c>
      <c r="AC7" s="24">
        <f>+AD7*AK7</f>
        <v>42445.880400000002</v>
      </c>
      <c r="AD7" s="21">
        <v>7.7000000000000002E-3</v>
      </c>
      <c r="AE7" s="24">
        <f>+AF7*AK7</f>
        <v>356655.64439999999</v>
      </c>
      <c r="AF7" s="21">
        <v>6.4699999999999994E-2</v>
      </c>
      <c r="AG7" s="24">
        <f>+AH7*AK7</f>
        <v>1106349.1163999999</v>
      </c>
      <c r="AH7" s="21">
        <v>0.20069999999999999</v>
      </c>
      <c r="AI7" s="24">
        <f>+AJ7*AK7</f>
        <v>3858.7163999999998</v>
      </c>
      <c r="AJ7" s="21">
        <v>6.9999999999999999E-4</v>
      </c>
      <c r="AK7" s="24">
        <v>5512452</v>
      </c>
      <c r="AL7" s="21">
        <f>+AK7/AK7</f>
        <v>1</v>
      </c>
    </row>
    <row r="8" spans="1:38" ht="18.75" x14ac:dyDescent="0.3">
      <c r="A8" s="28"/>
      <c r="B8" s="3" t="s">
        <v>3</v>
      </c>
      <c r="C8" s="24">
        <f t="shared" ref="C8:C18" si="0">+D8*AK8</f>
        <v>3299.9771999999998</v>
      </c>
      <c r="D8" s="21">
        <v>5.9999999999999995E-4</v>
      </c>
      <c r="E8" s="24">
        <f t="shared" ref="E8:E18" si="1">+F8*AK8</f>
        <v>327247.739</v>
      </c>
      <c r="F8" s="21">
        <v>5.9499999999999997E-2</v>
      </c>
      <c r="G8" s="24">
        <f t="shared" ref="G8:G18" si="2">+H8*AK8</f>
        <v>19799.8632</v>
      </c>
      <c r="H8" s="21">
        <v>3.5999999999999999E-3</v>
      </c>
      <c r="I8" s="24">
        <f t="shared" ref="I8:I18" si="3">+J8*AK8</f>
        <v>48949.661800000002</v>
      </c>
      <c r="J8" s="21">
        <v>8.8999999999999999E-3</v>
      </c>
      <c r="K8" s="24">
        <f t="shared" ref="K8:K18" si="4">+L8*AK8</f>
        <v>72599.498399999997</v>
      </c>
      <c r="L8" s="22">
        <v>1.32E-2</v>
      </c>
      <c r="M8" s="24">
        <f t="shared" ref="M8:M18" si="5">+N8*AK8</f>
        <v>194148.6586</v>
      </c>
      <c r="N8" s="21">
        <v>3.5299999999999998E-2</v>
      </c>
      <c r="O8" s="24">
        <f t="shared" ref="O8:O18" si="6">+P8*AK8</f>
        <v>2081185.6208000001</v>
      </c>
      <c r="P8" s="21">
        <v>0.37840000000000001</v>
      </c>
      <c r="Q8" s="24">
        <f t="shared" ref="Q8:Q18" si="7">+R8*AK8</f>
        <v>477946.69780000002</v>
      </c>
      <c r="R8" s="21">
        <v>8.6900000000000005E-2</v>
      </c>
      <c r="S8" s="24">
        <f t="shared" ref="S8:S18" si="8">+T8*AK8</f>
        <v>53349.631399999998</v>
      </c>
      <c r="T8" s="21">
        <v>9.7000000000000003E-3</v>
      </c>
      <c r="U8" s="24">
        <f t="shared" ref="U8:U18" si="9">+V8*AK8</f>
        <v>290947.98980000004</v>
      </c>
      <c r="V8" s="21">
        <v>5.2900000000000003E-2</v>
      </c>
      <c r="W8" s="24">
        <f t="shared" ref="W8:W18" si="10">+X8*AK8</f>
        <v>133649.0766</v>
      </c>
      <c r="X8" s="21">
        <v>2.4299999999999999E-2</v>
      </c>
      <c r="Y8" s="24">
        <f t="shared" ref="Y8:Y18" si="11">+Z8*AK8</f>
        <v>251348.2634</v>
      </c>
      <c r="Z8" s="21">
        <v>4.5699999999999998E-2</v>
      </c>
      <c r="AA8" s="24">
        <f t="shared" ref="AA8:AA18" si="12">+AB8*AK8</f>
        <v>49499.657999999996</v>
      </c>
      <c r="AB8" s="21">
        <v>8.9999999999999993E-3</v>
      </c>
      <c r="AC8" s="24">
        <f t="shared" ref="AC8:AC18" si="13">+AD8*AK8</f>
        <v>42349.707399999999</v>
      </c>
      <c r="AD8" s="21">
        <v>7.7000000000000002E-3</v>
      </c>
      <c r="AE8" s="24">
        <f t="shared" ref="AE8:AE18" si="14">+AF8*AK8</f>
        <v>356947.53379999998</v>
      </c>
      <c r="AF8" s="21">
        <v>6.4899999999999999E-2</v>
      </c>
      <c r="AG8" s="24">
        <f t="shared" ref="AG8:AG18" si="15">+AH8*AK8</f>
        <v>1092842.4494</v>
      </c>
      <c r="AH8" s="21">
        <v>0.19869999999999999</v>
      </c>
      <c r="AI8" s="24">
        <f t="shared" ref="AI8:AI18" si="16">+AJ8*AK8</f>
        <v>38499.734000000004</v>
      </c>
      <c r="AJ8" s="21">
        <v>7.0000000000000001E-3</v>
      </c>
      <c r="AK8" s="24">
        <v>5499962</v>
      </c>
      <c r="AL8" s="21">
        <f t="shared" ref="AL8:AL19" si="17">+AK8/AK8</f>
        <v>1</v>
      </c>
    </row>
    <row r="9" spans="1:38" ht="18.75" x14ac:dyDescent="0.3">
      <c r="A9" s="28"/>
      <c r="B9" s="3" t="s">
        <v>4</v>
      </c>
      <c r="C9" s="24">
        <f t="shared" si="0"/>
        <v>2070.8108000000002</v>
      </c>
      <c r="D9" s="21">
        <v>4.0000000000000002E-4</v>
      </c>
      <c r="E9" s="24">
        <f t="shared" si="1"/>
        <v>325117.29559999995</v>
      </c>
      <c r="F9" s="21">
        <v>6.2799999999999995E-2</v>
      </c>
      <c r="G9" s="24">
        <f t="shared" si="2"/>
        <v>19154.999900000003</v>
      </c>
      <c r="H9" s="21">
        <v>3.7000000000000002E-3</v>
      </c>
      <c r="I9" s="24">
        <f t="shared" si="3"/>
        <v>62642.026699999995</v>
      </c>
      <c r="J9" s="21">
        <v>1.21E-2</v>
      </c>
      <c r="K9" s="24">
        <f t="shared" si="4"/>
        <v>67301.35100000001</v>
      </c>
      <c r="L9" s="22">
        <v>1.3000000000000001E-2</v>
      </c>
      <c r="M9" s="24">
        <f t="shared" si="5"/>
        <v>194656.21520000001</v>
      </c>
      <c r="N9" s="21">
        <v>3.7600000000000001E-2</v>
      </c>
      <c r="O9" s="24">
        <f t="shared" si="6"/>
        <v>2023182.1516</v>
      </c>
      <c r="P9" s="21">
        <v>0.39079999999999998</v>
      </c>
      <c r="Q9" s="24">
        <f t="shared" si="7"/>
        <v>452989.86249999999</v>
      </c>
      <c r="R9" s="21">
        <v>8.7499999999999994E-2</v>
      </c>
      <c r="S9" s="24">
        <f t="shared" si="8"/>
        <v>50217.161899999999</v>
      </c>
      <c r="T9" s="21">
        <v>9.7000000000000003E-3</v>
      </c>
      <c r="U9" s="24">
        <f t="shared" si="9"/>
        <v>201386.35029999999</v>
      </c>
      <c r="V9" s="21">
        <v>3.8899999999999997E-2</v>
      </c>
      <c r="W9" s="24">
        <f t="shared" si="10"/>
        <v>102505.1346</v>
      </c>
      <c r="X9" s="21">
        <v>1.9800000000000002E-2</v>
      </c>
      <c r="Y9" s="24">
        <f t="shared" si="11"/>
        <v>251085.8095</v>
      </c>
      <c r="Z9" s="21">
        <v>4.8500000000000001E-2</v>
      </c>
      <c r="AA9" s="24">
        <f t="shared" si="12"/>
        <v>49181.756499999996</v>
      </c>
      <c r="AB9" s="21">
        <v>9.4999999999999998E-3</v>
      </c>
      <c r="AC9" s="24">
        <f t="shared" si="13"/>
        <v>42451.621400000004</v>
      </c>
      <c r="AD9" s="21">
        <v>8.2000000000000007E-3</v>
      </c>
      <c r="AE9" s="24">
        <f t="shared" si="14"/>
        <v>349449.32250000001</v>
      </c>
      <c r="AF9" s="21">
        <v>6.7500000000000004E-2</v>
      </c>
      <c r="AG9" s="24">
        <f t="shared" si="15"/>
        <v>978458.103</v>
      </c>
      <c r="AH9" s="21">
        <v>0.189</v>
      </c>
      <c r="AI9" s="24">
        <f t="shared" si="16"/>
        <v>4659.3243000000002</v>
      </c>
      <c r="AJ9" s="21">
        <v>8.9999999999999998E-4</v>
      </c>
      <c r="AK9" s="24">
        <v>5177027</v>
      </c>
      <c r="AL9" s="21">
        <f t="shared" si="17"/>
        <v>1</v>
      </c>
    </row>
    <row r="10" spans="1:38" ht="18.75" x14ac:dyDescent="0.3">
      <c r="A10" s="28"/>
      <c r="B10" s="3" t="s">
        <v>5</v>
      </c>
      <c r="C10" s="24">
        <f t="shared" si="0"/>
        <v>2059.1176</v>
      </c>
      <c r="D10" s="21">
        <v>4.0000000000000002E-4</v>
      </c>
      <c r="E10" s="24">
        <f t="shared" si="1"/>
        <v>323796.2426</v>
      </c>
      <c r="F10" s="21">
        <v>6.2899999999999998E-2</v>
      </c>
      <c r="G10" s="24">
        <f t="shared" si="2"/>
        <v>19046.837800000001</v>
      </c>
      <c r="H10" s="21">
        <v>3.7000000000000002E-3</v>
      </c>
      <c r="I10" s="24">
        <f t="shared" si="3"/>
        <v>60743.9692</v>
      </c>
      <c r="J10" s="21">
        <v>1.18E-2</v>
      </c>
      <c r="K10" s="24">
        <f t="shared" si="4"/>
        <v>58684.851599999995</v>
      </c>
      <c r="L10" s="22">
        <v>1.1399999999999999E-2</v>
      </c>
      <c r="M10" s="24">
        <f t="shared" si="5"/>
        <v>194586.61319999999</v>
      </c>
      <c r="N10" s="21">
        <v>3.78E-2</v>
      </c>
      <c r="O10" s="24">
        <f t="shared" si="6"/>
        <v>2017935.2480000001</v>
      </c>
      <c r="P10" s="21">
        <v>0.39200000000000002</v>
      </c>
      <c r="Q10" s="24">
        <f t="shared" si="7"/>
        <v>450431.97499999998</v>
      </c>
      <c r="R10" s="21">
        <v>8.7499999999999994E-2</v>
      </c>
      <c r="S10" s="24">
        <f t="shared" si="8"/>
        <v>40667.572600000007</v>
      </c>
      <c r="T10" s="21">
        <v>7.9000000000000008E-3</v>
      </c>
      <c r="U10" s="24">
        <f t="shared" si="9"/>
        <v>201793.52479999998</v>
      </c>
      <c r="V10" s="21">
        <v>3.9199999999999999E-2</v>
      </c>
      <c r="W10" s="24">
        <f t="shared" si="10"/>
        <v>106044.5564</v>
      </c>
      <c r="X10" s="21">
        <v>2.06E-2</v>
      </c>
      <c r="Y10" s="24">
        <f t="shared" si="11"/>
        <v>251212.34720000002</v>
      </c>
      <c r="Z10" s="21">
        <v>4.8800000000000003E-2</v>
      </c>
      <c r="AA10" s="24">
        <f t="shared" si="12"/>
        <v>46330.145999999993</v>
      </c>
      <c r="AB10" s="21">
        <v>8.9999999999999993E-3</v>
      </c>
      <c r="AC10" s="24">
        <f t="shared" si="13"/>
        <v>42726.690199999997</v>
      </c>
      <c r="AD10" s="21">
        <v>8.3000000000000001E-3</v>
      </c>
      <c r="AE10" s="24">
        <f t="shared" si="14"/>
        <v>349020.43319999997</v>
      </c>
      <c r="AF10" s="21">
        <v>6.7799999999999999E-2</v>
      </c>
      <c r="AG10" s="24">
        <f t="shared" si="15"/>
        <v>978080.86</v>
      </c>
      <c r="AH10" s="21">
        <v>0.19</v>
      </c>
      <c r="AI10" s="24">
        <f t="shared" si="16"/>
        <v>4633.0145999999995</v>
      </c>
      <c r="AJ10" s="21">
        <v>8.9999999999999998E-4</v>
      </c>
      <c r="AK10" s="24">
        <v>5147794</v>
      </c>
      <c r="AL10" s="21">
        <f t="shared" si="17"/>
        <v>1</v>
      </c>
    </row>
    <row r="11" spans="1:38" ht="18.75" x14ac:dyDescent="0.3">
      <c r="A11" s="28"/>
      <c r="B11" s="3" t="s">
        <v>6</v>
      </c>
      <c r="C11" s="24">
        <f t="shared" si="0"/>
        <v>2060.8252000000002</v>
      </c>
      <c r="D11" s="21">
        <v>4.0000000000000002E-4</v>
      </c>
      <c r="E11" s="24">
        <f t="shared" si="1"/>
        <v>323549.5564</v>
      </c>
      <c r="F11" s="21">
        <v>6.2799999999999995E-2</v>
      </c>
      <c r="G11" s="24">
        <f t="shared" si="2"/>
        <v>19062.633099999999</v>
      </c>
      <c r="H11" s="21">
        <v>3.7000000000000002E-3</v>
      </c>
      <c r="I11" s="24">
        <f t="shared" si="3"/>
        <v>60794.343399999998</v>
      </c>
      <c r="J11" s="21">
        <v>1.18E-2</v>
      </c>
      <c r="K11" s="24">
        <f t="shared" si="4"/>
        <v>56672.692999999999</v>
      </c>
      <c r="L11" s="21">
        <v>1.0999999999999999E-2</v>
      </c>
      <c r="M11" s="24">
        <f t="shared" si="5"/>
        <v>194232.7751</v>
      </c>
      <c r="N11" s="21">
        <v>3.7699999999999997E-2</v>
      </c>
      <c r="O11" s="24">
        <f t="shared" si="6"/>
        <v>2021154.3148999999</v>
      </c>
      <c r="P11" s="21">
        <v>0.39229999999999998</v>
      </c>
      <c r="Q11" s="24">
        <f t="shared" si="7"/>
        <v>450805.51249999995</v>
      </c>
      <c r="R11" s="21">
        <v>8.7499999999999994E-2</v>
      </c>
      <c r="S11" s="24">
        <f t="shared" si="8"/>
        <v>43792.535500000005</v>
      </c>
      <c r="T11" s="21">
        <v>8.5000000000000006E-3</v>
      </c>
      <c r="U11" s="24">
        <f t="shared" si="9"/>
        <v>201445.66330000001</v>
      </c>
      <c r="V11" s="21">
        <v>3.9100000000000003E-2</v>
      </c>
      <c r="W11" s="24">
        <f t="shared" si="10"/>
        <v>105617.29150000001</v>
      </c>
      <c r="X11" s="21">
        <v>2.0500000000000001E-2</v>
      </c>
      <c r="Y11" s="24">
        <f t="shared" si="11"/>
        <v>250905.4681</v>
      </c>
      <c r="Z11" s="21">
        <v>4.87E-2</v>
      </c>
      <c r="AA11" s="24">
        <f t="shared" si="12"/>
        <v>47398.979599999999</v>
      </c>
      <c r="AB11" s="21">
        <v>9.1999999999999998E-3</v>
      </c>
      <c r="AC11" s="24">
        <f t="shared" si="13"/>
        <v>40186.091399999998</v>
      </c>
      <c r="AD11" s="21">
        <v>7.7999999999999996E-3</v>
      </c>
      <c r="AE11" s="24">
        <f t="shared" si="14"/>
        <v>351370.69659999997</v>
      </c>
      <c r="AF11" s="21">
        <v>6.8199999999999997E-2</v>
      </c>
      <c r="AG11" s="24">
        <f t="shared" si="15"/>
        <v>977861.55739999993</v>
      </c>
      <c r="AH11" s="21">
        <v>0.1898</v>
      </c>
      <c r="AI11" s="24">
        <f t="shared" si="16"/>
        <v>5152.0630000000001</v>
      </c>
      <c r="AJ11" s="21">
        <v>1E-3</v>
      </c>
      <c r="AK11" s="24">
        <v>5152063</v>
      </c>
      <c r="AL11" s="21">
        <f t="shared" si="17"/>
        <v>1</v>
      </c>
    </row>
    <row r="12" spans="1:38" ht="18.75" x14ac:dyDescent="0.3">
      <c r="A12" s="28"/>
      <c r="B12" s="3" t="s">
        <v>7</v>
      </c>
      <c r="C12" s="24">
        <f t="shared" si="0"/>
        <v>2064.1956</v>
      </c>
      <c r="D12" s="21">
        <v>4.0000000000000002E-4</v>
      </c>
      <c r="E12" s="24">
        <f t="shared" si="1"/>
        <v>323046.61139999999</v>
      </c>
      <c r="F12" s="21">
        <v>6.2600000000000003E-2</v>
      </c>
      <c r="G12" s="24">
        <f t="shared" si="2"/>
        <v>19093.809300000001</v>
      </c>
      <c r="H12" s="21">
        <v>3.7000000000000002E-3</v>
      </c>
      <c r="I12" s="24">
        <f t="shared" si="3"/>
        <v>60893.770199999999</v>
      </c>
      <c r="J12" s="21">
        <v>1.18E-2</v>
      </c>
      <c r="K12" s="24">
        <f t="shared" si="4"/>
        <v>56765.378999999994</v>
      </c>
      <c r="L12" s="21">
        <v>1.0999999999999999E-2</v>
      </c>
      <c r="M12" s="24">
        <f t="shared" si="5"/>
        <v>194550.43529999998</v>
      </c>
      <c r="N12" s="21">
        <v>3.7699999999999997E-2</v>
      </c>
      <c r="O12" s="24">
        <f t="shared" si="6"/>
        <v>2020331.4435000001</v>
      </c>
      <c r="P12" s="21">
        <v>0.39150000000000001</v>
      </c>
      <c r="Q12" s="24">
        <f t="shared" si="7"/>
        <v>451026.73860000004</v>
      </c>
      <c r="R12" s="21">
        <v>8.7400000000000005E-2</v>
      </c>
      <c r="S12" s="24">
        <f t="shared" si="8"/>
        <v>43864.156500000005</v>
      </c>
      <c r="T12" s="21">
        <v>8.5000000000000006E-3</v>
      </c>
      <c r="U12" s="24">
        <f t="shared" si="9"/>
        <v>201775.11990000002</v>
      </c>
      <c r="V12" s="21">
        <v>3.9100000000000003E-2</v>
      </c>
      <c r="W12" s="24">
        <f t="shared" si="10"/>
        <v>105790.0245</v>
      </c>
      <c r="X12" s="21">
        <v>2.0500000000000001E-2</v>
      </c>
      <c r="Y12" s="24">
        <f t="shared" si="11"/>
        <v>251315.8143</v>
      </c>
      <c r="Z12" s="21">
        <v>4.87E-2</v>
      </c>
      <c r="AA12" s="24">
        <f t="shared" si="12"/>
        <v>47476.498800000001</v>
      </c>
      <c r="AB12" s="21">
        <v>9.1999999999999998E-3</v>
      </c>
      <c r="AC12" s="24">
        <f t="shared" si="13"/>
        <v>40251.814200000001</v>
      </c>
      <c r="AD12" s="21">
        <v>7.7999999999999996E-3</v>
      </c>
      <c r="AE12" s="24">
        <f t="shared" si="14"/>
        <v>360202.13219999999</v>
      </c>
      <c r="AF12" s="21">
        <v>6.9800000000000001E-2</v>
      </c>
      <c r="AG12" s="24">
        <f t="shared" si="15"/>
        <v>977912.6655</v>
      </c>
      <c r="AH12" s="21">
        <v>0.1895</v>
      </c>
      <c r="AI12" s="24">
        <f t="shared" si="16"/>
        <v>5160.4890000000005</v>
      </c>
      <c r="AJ12" s="21">
        <v>1E-3</v>
      </c>
      <c r="AK12" s="24">
        <v>5160489</v>
      </c>
      <c r="AL12" s="21">
        <f t="shared" si="17"/>
        <v>1</v>
      </c>
    </row>
    <row r="13" spans="1:38" ht="18.75" x14ac:dyDescent="0.3">
      <c r="A13" s="28"/>
      <c r="B13" s="3" t="s">
        <v>8</v>
      </c>
      <c r="C13" s="24">
        <f t="shared" si="0"/>
        <v>2066.1772000000001</v>
      </c>
      <c r="D13" s="21">
        <v>4.0000000000000002E-4</v>
      </c>
      <c r="E13" s="24">
        <f t="shared" si="1"/>
        <v>323356.73180000001</v>
      </c>
      <c r="F13" s="21">
        <v>6.2600000000000003E-2</v>
      </c>
      <c r="G13" s="24">
        <f t="shared" si="2"/>
        <v>19112.1391</v>
      </c>
      <c r="H13" s="21">
        <v>3.7000000000000002E-3</v>
      </c>
      <c r="I13" s="24">
        <f t="shared" si="3"/>
        <v>63018.404600000002</v>
      </c>
      <c r="J13" s="21">
        <v>1.2200000000000001E-2</v>
      </c>
      <c r="K13" s="24">
        <f t="shared" si="4"/>
        <v>56819.873</v>
      </c>
      <c r="L13" s="21">
        <v>1.0999999999999999E-2</v>
      </c>
      <c r="M13" s="24">
        <f t="shared" si="5"/>
        <v>194220.6568</v>
      </c>
      <c r="N13" s="21">
        <v>3.7600000000000001E-2</v>
      </c>
      <c r="O13" s="24">
        <f t="shared" si="6"/>
        <v>2021237.8458999998</v>
      </c>
      <c r="P13" s="21">
        <v>0.39129999999999998</v>
      </c>
      <c r="Q13" s="24">
        <f t="shared" si="7"/>
        <v>450943.17389999999</v>
      </c>
      <c r="R13" s="21">
        <v>8.7300000000000003E-2</v>
      </c>
      <c r="S13" s="24">
        <f t="shared" si="8"/>
        <v>43906.265500000001</v>
      </c>
      <c r="T13" s="21">
        <v>8.5000000000000006E-3</v>
      </c>
      <c r="U13" s="24">
        <f t="shared" si="9"/>
        <v>201452.277</v>
      </c>
      <c r="V13" s="21">
        <v>3.9E-2</v>
      </c>
      <c r="W13" s="24">
        <f t="shared" si="10"/>
        <v>105891.5815</v>
      </c>
      <c r="X13" s="21">
        <v>2.0500000000000001E-2</v>
      </c>
      <c r="Y13" s="24">
        <f t="shared" si="11"/>
        <v>251040.52979999999</v>
      </c>
      <c r="Z13" s="21">
        <v>4.8599999999999997E-2</v>
      </c>
      <c r="AA13" s="24">
        <f t="shared" si="12"/>
        <v>48555.164199999999</v>
      </c>
      <c r="AB13" s="21">
        <v>9.4000000000000004E-3</v>
      </c>
      <c r="AC13" s="24">
        <f t="shared" si="13"/>
        <v>40290.455399999999</v>
      </c>
      <c r="AD13" s="21">
        <v>7.7999999999999996E-3</v>
      </c>
      <c r="AE13" s="24">
        <f t="shared" si="14"/>
        <v>361064.4657</v>
      </c>
      <c r="AF13" s="21">
        <v>6.9900000000000004E-2</v>
      </c>
      <c r="AG13" s="24">
        <f t="shared" si="15"/>
        <v>977818.35989999992</v>
      </c>
      <c r="AH13" s="21">
        <v>0.1893</v>
      </c>
      <c r="AI13" s="24">
        <f t="shared" si="16"/>
        <v>5165.4430000000002</v>
      </c>
      <c r="AJ13" s="21">
        <v>1E-3</v>
      </c>
      <c r="AK13" s="24">
        <v>5165443</v>
      </c>
      <c r="AL13" s="21">
        <f t="shared" si="17"/>
        <v>1</v>
      </c>
    </row>
    <row r="14" spans="1:38" ht="18.75" x14ac:dyDescent="0.3">
      <c r="A14" s="28"/>
      <c r="B14" s="3" t="s">
        <v>35</v>
      </c>
      <c r="C14" s="24">
        <f t="shared" si="0"/>
        <v>3820.1498999999999</v>
      </c>
      <c r="D14" s="21">
        <v>6.9999999999999999E-4</v>
      </c>
      <c r="E14" s="24">
        <f t="shared" si="1"/>
        <v>356365.41209999996</v>
      </c>
      <c r="F14" s="21">
        <v>6.5299999999999997E-2</v>
      </c>
      <c r="G14" s="24">
        <f t="shared" si="2"/>
        <v>17463.542400000002</v>
      </c>
      <c r="H14" s="21">
        <v>3.2000000000000002E-3</v>
      </c>
      <c r="I14" s="24">
        <f t="shared" si="3"/>
        <v>103144.04730000001</v>
      </c>
      <c r="J14" s="21">
        <v>1.89E-2</v>
      </c>
      <c r="K14" s="24">
        <f t="shared" si="4"/>
        <v>112421.5542</v>
      </c>
      <c r="L14" s="21">
        <v>2.06E-2</v>
      </c>
      <c r="M14" s="24">
        <f t="shared" si="5"/>
        <v>201376.47330000001</v>
      </c>
      <c r="N14" s="21">
        <v>3.6900000000000002E-2</v>
      </c>
      <c r="O14" s="24">
        <f t="shared" si="6"/>
        <v>1987569.4194</v>
      </c>
      <c r="P14" s="21">
        <v>0.36420000000000002</v>
      </c>
      <c r="Q14" s="24">
        <f t="shared" si="7"/>
        <v>455143.57380000001</v>
      </c>
      <c r="R14" s="21">
        <v>8.3400000000000002E-2</v>
      </c>
      <c r="S14" s="24">
        <f t="shared" si="8"/>
        <v>155534.67449999999</v>
      </c>
      <c r="T14" s="21">
        <v>2.8500000000000001E-2</v>
      </c>
      <c r="U14" s="24">
        <f t="shared" si="9"/>
        <v>194281.90919999999</v>
      </c>
      <c r="V14" s="21">
        <v>3.56E-2</v>
      </c>
      <c r="W14" s="24">
        <f t="shared" si="10"/>
        <v>108055.6686</v>
      </c>
      <c r="X14" s="21">
        <v>1.9800000000000002E-2</v>
      </c>
      <c r="Y14" s="24">
        <f t="shared" si="11"/>
        <v>252129.8934</v>
      </c>
      <c r="Z14" s="21">
        <v>4.6199999999999998E-2</v>
      </c>
      <c r="AA14" s="24">
        <f t="shared" si="12"/>
        <v>82951.826400000005</v>
      </c>
      <c r="AB14" s="21">
        <v>1.52E-2</v>
      </c>
      <c r="AC14" s="24">
        <f t="shared" si="13"/>
        <v>48024.741600000001</v>
      </c>
      <c r="AD14" s="21">
        <v>8.8000000000000005E-3</v>
      </c>
      <c r="AE14" s="24">
        <f t="shared" si="14"/>
        <v>370554.54029999999</v>
      </c>
      <c r="AF14" s="21">
        <v>6.7900000000000002E-2</v>
      </c>
      <c r="AG14" s="24">
        <f t="shared" si="15"/>
        <v>977412.63870000001</v>
      </c>
      <c r="AH14" s="21">
        <v>0.17910000000000001</v>
      </c>
      <c r="AI14" s="24">
        <f t="shared" si="16"/>
        <v>30561.199199999999</v>
      </c>
      <c r="AJ14" s="21">
        <v>5.5999999999999999E-3</v>
      </c>
      <c r="AK14" s="24">
        <v>5457357</v>
      </c>
      <c r="AL14" s="21">
        <f t="shared" si="17"/>
        <v>1</v>
      </c>
    </row>
    <row r="15" spans="1:38" ht="18.75" x14ac:dyDescent="0.3">
      <c r="A15" s="28"/>
      <c r="B15" s="3" t="s">
        <v>10</v>
      </c>
      <c r="C15" s="24">
        <f t="shared" si="0"/>
        <v>3776.5805</v>
      </c>
      <c r="D15" s="21">
        <v>6.9999999999999999E-4</v>
      </c>
      <c r="E15" s="24">
        <f t="shared" si="1"/>
        <v>354998.56699999998</v>
      </c>
      <c r="F15" s="21">
        <v>6.5799999999999997E-2</v>
      </c>
      <c r="G15" s="24">
        <f t="shared" si="2"/>
        <v>17803.879499999999</v>
      </c>
      <c r="H15" s="21">
        <v>3.3E-3</v>
      </c>
      <c r="I15" s="24">
        <f t="shared" si="3"/>
        <v>103586.20799999998</v>
      </c>
      <c r="J15" s="21">
        <v>1.9199999999999998E-2</v>
      </c>
      <c r="K15" s="24">
        <f t="shared" si="4"/>
        <v>104125.71950000001</v>
      </c>
      <c r="L15" s="21">
        <v>1.9300000000000001E-2</v>
      </c>
      <c r="M15" s="24">
        <f t="shared" si="5"/>
        <v>200698.27799999999</v>
      </c>
      <c r="N15" s="21">
        <v>3.7199999999999997E-2</v>
      </c>
      <c r="O15" s="24">
        <f t="shared" si="6"/>
        <v>1982704.7625</v>
      </c>
      <c r="P15" s="21">
        <v>0.36749999999999999</v>
      </c>
      <c r="Q15" s="24">
        <f t="shared" si="7"/>
        <v>454268.68299999996</v>
      </c>
      <c r="R15" s="21">
        <v>8.4199999999999997E-2</v>
      </c>
      <c r="S15" s="24">
        <f t="shared" si="8"/>
        <v>145668.10500000001</v>
      </c>
      <c r="T15" s="21">
        <v>2.7E-2</v>
      </c>
      <c r="U15" s="24">
        <f t="shared" si="9"/>
        <v>183433.91</v>
      </c>
      <c r="V15" s="21">
        <v>3.4000000000000002E-2</v>
      </c>
      <c r="W15" s="24">
        <f t="shared" si="10"/>
        <v>103046.69649999999</v>
      </c>
      <c r="X15" s="21">
        <v>1.9099999999999999E-2</v>
      </c>
      <c r="Y15" s="24">
        <f t="shared" si="11"/>
        <v>251951.87049999999</v>
      </c>
      <c r="Z15" s="21">
        <v>4.6699999999999998E-2</v>
      </c>
      <c r="AA15" s="24">
        <f t="shared" si="12"/>
        <v>76071.121499999994</v>
      </c>
      <c r="AB15" s="21">
        <v>1.41E-2</v>
      </c>
      <c r="AC15" s="24">
        <f t="shared" si="13"/>
        <v>47477.012000000002</v>
      </c>
      <c r="AD15" s="21">
        <v>8.8000000000000005E-3</v>
      </c>
      <c r="AE15" s="24">
        <f t="shared" si="14"/>
        <v>367407.33149999997</v>
      </c>
      <c r="AF15" s="21">
        <v>6.8099999999999994E-2</v>
      </c>
      <c r="AG15" s="24">
        <f t="shared" si="15"/>
        <v>967344.11949999991</v>
      </c>
      <c r="AH15" s="21">
        <v>0.17929999999999999</v>
      </c>
      <c r="AI15" s="24">
        <f t="shared" si="16"/>
        <v>30752.155500000001</v>
      </c>
      <c r="AJ15" s="21">
        <v>5.7000000000000002E-3</v>
      </c>
      <c r="AK15" s="24">
        <v>5395115</v>
      </c>
      <c r="AL15" s="21">
        <f t="shared" si="17"/>
        <v>1</v>
      </c>
    </row>
    <row r="16" spans="1:38" ht="18.75" x14ac:dyDescent="0.3">
      <c r="A16" s="28"/>
      <c r="B16" s="3" t="s">
        <v>11</v>
      </c>
      <c r="C16" s="24">
        <f t="shared" si="0"/>
        <v>3794.1918000000001</v>
      </c>
      <c r="D16" s="21">
        <v>6.9999999999999999E-4</v>
      </c>
      <c r="E16" s="24">
        <f t="shared" si="1"/>
        <v>355569.97440000001</v>
      </c>
      <c r="F16" s="21">
        <v>6.5600000000000006E-2</v>
      </c>
      <c r="G16" s="24">
        <f t="shared" si="2"/>
        <v>17344.876800000002</v>
      </c>
      <c r="H16" s="21">
        <v>3.2000000000000002E-3</v>
      </c>
      <c r="I16" s="24">
        <f t="shared" si="3"/>
        <v>105153.3156</v>
      </c>
      <c r="J16" s="21">
        <v>1.9400000000000001E-2</v>
      </c>
      <c r="K16" s="24">
        <f t="shared" si="4"/>
        <v>107863.4526</v>
      </c>
      <c r="L16" s="21">
        <v>1.9900000000000001E-2</v>
      </c>
      <c r="M16" s="24">
        <f t="shared" si="5"/>
        <v>201092.1654</v>
      </c>
      <c r="N16" s="21">
        <v>3.7100000000000001E-2</v>
      </c>
      <c r="O16" s="24">
        <f t="shared" si="6"/>
        <v>1975147.8456000001</v>
      </c>
      <c r="P16" s="21">
        <v>0.3644</v>
      </c>
      <c r="Q16" s="24">
        <f t="shared" si="7"/>
        <v>455303.016</v>
      </c>
      <c r="R16" s="21">
        <v>8.4000000000000005E-2</v>
      </c>
      <c r="S16" s="24">
        <f t="shared" si="8"/>
        <v>155019.8364</v>
      </c>
      <c r="T16" s="21">
        <v>2.86E-2</v>
      </c>
      <c r="U16" s="24">
        <f t="shared" si="9"/>
        <v>183205.26119999998</v>
      </c>
      <c r="V16" s="21">
        <v>3.3799999999999997E-2</v>
      </c>
      <c r="W16" s="24">
        <f t="shared" si="10"/>
        <v>115451.83619999999</v>
      </c>
      <c r="X16" s="21">
        <v>2.1299999999999999E-2</v>
      </c>
      <c r="Y16" s="24">
        <f t="shared" si="11"/>
        <v>252042.74100000001</v>
      </c>
      <c r="Z16" s="21">
        <v>4.65E-2</v>
      </c>
      <c r="AA16" s="24">
        <f t="shared" si="12"/>
        <v>77509.9182</v>
      </c>
      <c r="AB16" s="21">
        <v>1.43E-2</v>
      </c>
      <c r="AC16" s="24">
        <f t="shared" si="13"/>
        <v>47698.411200000002</v>
      </c>
      <c r="AD16" s="21">
        <v>8.8000000000000005E-3</v>
      </c>
      <c r="AE16" s="24">
        <f t="shared" si="14"/>
        <v>368036.60460000002</v>
      </c>
      <c r="AF16" s="21">
        <v>6.7900000000000002E-2</v>
      </c>
      <c r="AG16" s="24">
        <f t="shared" si="15"/>
        <v>969144.99119999993</v>
      </c>
      <c r="AH16" s="21">
        <v>0.17879999999999999</v>
      </c>
      <c r="AI16" s="24">
        <f t="shared" si="16"/>
        <v>30895.561799999999</v>
      </c>
      <c r="AJ16" s="21">
        <v>5.7000000000000002E-3</v>
      </c>
      <c r="AK16" s="24">
        <v>5420274</v>
      </c>
      <c r="AL16" s="21">
        <f t="shared" si="17"/>
        <v>1</v>
      </c>
    </row>
    <row r="17" spans="1:38" ht="18.75" x14ac:dyDescent="0.3">
      <c r="A17" s="28"/>
      <c r="B17" s="3" t="s">
        <v>12</v>
      </c>
      <c r="C17" s="24">
        <f t="shared" si="0"/>
        <v>3807.3308000000002</v>
      </c>
      <c r="D17" s="21">
        <v>6.9999999999999999E-4</v>
      </c>
      <c r="E17" s="24">
        <f t="shared" si="1"/>
        <v>355169.57319999998</v>
      </c>
      <c r="F17" s="21">
        <v>6.5299999999999997E-2</v>
      </c>
      <c r="G17" s="24">
        <f t="shared" si="2"/>
        <v>25019.6024</v>
      </c>
      <c r="H17" s="21">
        <v>4.5999999999999999E-3</v>
      </c>
      <c r="I17" s="24">
        <f t="shared" si="3"/>
        <v>106605.26239999999</v>
      </c>
      <c r="J17" s="21">
        <v>1.9599999999999999E-2</v>
      </c>
      <c r="K17" s="24">
        <f t="shared" si="4"/>
        <v>108780.88</v>
      </c>
      <c r="L17" s="21">
        <v>0.02</v>
      </c>
      <c r="M17" s="24">
        <f t="shared" si="5"/>
        <v>201244.628</v>
      </c>
      <c r="N17" s="21">
        <v>3.6999999999999998E-2</v>
      </c>
      <c r="O17" s="24">
        <f t="shared" si="6"/>
        <v>1994497.4348000002</v>
      </c>
      <c r="P17" s="21">
        <v>0.36670000000000003</v>
      </c>
      <c r="Q17" s="24">
        <f t="shared" si="7"/>
        <v>455247.9828</v>
      </c>
      <c r="R17" s="21">
        <v>8.3699999999999997E-2</v>
      </c>
      <c r="S17" s="24">
        <f t="shared" si="8"/>
        <v>153924.94519999999</v>
      </c>
      <c r="T17" s="21">
        <v>2.8299999999999999E-2</v>
      </c>
      <c r="U17" s="24">
        <f t="shared" si="9"/>
        <v>183839.68719999999</v>
      </c>
      <c r="V17" s="21">
        <v>3.3799999999999997E-2</v>
      </c>
      <c r="W17" s="24">
        <f t="shared" si="10"/>
        <v>115307.7328</v>
      </c>
      <c r="X17" s="21">
        <v>2.12E-2</v>
      </c>
      <c r="Y17" s="24">
        <f t="shared" si="11"/>
        <v>252371.64159999997</v>
      </c>
      <c r="Z17" s="21">
        <v>4.6399999999999997E-2</v>
      </c>
      <c r="AA17" s="24">
        <f t="shared" si="12"/>
        <v>77234.424800000008</v>
      </c>
      <c r="AB17" s="21">
        <v>1.4200000000000001E-2</v>
      </c>
      <c r="AC17" s="24">
        <f t="shared" si="13"/>
        <v>47319.682799999995</v>
      </c>
      <c r="AD17" s="21">
        <v>8.6999999999999994E-3</v>
      </c>
      <c r="AE17" s="24">
        <f t="shared" si="14"/>
        <v>367679.37439999997</v>
      </c>
      <c r="AF17" s="21">
        <v>6.7599999999999993E-2</v>
      </c>
      <c r="AG17" s="24">
        <f t="shared" si="15"/>
        <v>962166.88360000006</v>
      </c>
      <c r="AH17" s="21">
        <v>0.1769</v>
      </c>
      <c r="AI17" s="24">
        <f t="shared" si="16"/>
        <v>31002.550800000001</v>
      </c>
      <c r="AJ17" s="21">
        <v>5.7000000000000002E-3</v>
      </c>
      <c r="AK17" s="24">
        <v>5439044</v>
      </c>
      <c r="AL17" s="21">
        <f t="shared" si="17"/>
        <v>1</v>
      </c>
    </row>
    <row r="18" spans="1:38" ht="18.75" x14ac:dyDescent="0.3">
      <c r="A18" s="28"/>
      <c r="B18" s="3" t="s">
        <v>13</v>
      </c>
      <c r="C18" s="24">
        <f t="shared" si="0"/>
        <v>3806.9079999999999</v>
      </c>
      <c r="D18" s="21">
        <v>6.9999999999999999E-4</v>
      </c>
      <c r="E18" s="24">
        <f t="shared" si="1"/>
        <v>355130.13199999998</v>
      </c>
      <c r="F18" s="21">
        <v>6.5299999999999997E-2</v>
      </c>
      <c r="G18" s="24">
        <f t="shared" si="2"/>
        <v>25016.824000000001</v>
      </c>
      <c r="H18" s="21">
        <v>4.5999999999999999E-3</v>
      </c>
      <c r="I18" s="24">
        <f t="shared" si="3"/>
        <v>106593.424</v>
      </c>
      <c r="J18" s="21">
        <v>1.9599999999999999E-2</v>
      </c>
      <c r="K18" s="24">
        <f t="shared" si="4"/>
        <v>108768.8</v>
      </c>
      <c r="L18" s="21">
        <v>0.02</v>
      </c>
      <c r="M18" s="24">
        <f t="shared" si="5"/>
        <v>201222.28</v>
      </c>
      <c r="N18" s="21">
        <v>3.6999999999999998E-2</v>
      </c>
      <c r="O18" s="24">
        <f t="shared" si="6"/>
        <v>1994275.9480000001</v>
      </c>
      <c r="P18" s="21">
        <v>0.36670000000000003</v>
      </c>
      <c r="Q18" s="24">
        <f t="shared" si="7"/>
        <v>455197.42799999996</v>
      </c>
      <c r="R18" s="21">
        <v>8.3699999999999997E-2</v>
      </c>
      <c r="S18" s="24">
        <f t="shared" si="8"/>
        <v>153907.85199999998</v>
      </c>
      <c r="T18" s="21">
        <v>2.8299999999999999E-2</v>
      </c>
      <c r="U18" s="24">
        <f t="shared" si="9"/>
        <v>183819.27199999997</v>
      </c>
      <c r="V18" s="21">
        <v>3.3799999999999997E-2</v>
      </c>
      <c r="W18" s="24">
        <f t="shared" si="10"/>
        <v>115294.928</v>
      </c>
      <c r="X18" s="21">
        <v>2.12E-2</v>
      </c>
      <c r="Y18" s="24">
        <f t="shared" si="11"/>
        <v>252343.61599999998</v>
      </c>
      <c r="Z18" s="21">
        <v>4.6399999999999997E-2</v>
      </c>
      <c r="AA18" s="24">
        <f t="shared" si="12"/>
        <v>76682.004000000001</v>
      </c>
      <c r="AB18" s="21">
        <v>1.41E-2</v>
      </c>
      <c r="AC18" s="24">
        <f t="shared" si="13"/>
        <v>47314.428</v>
      </c>
      <c r="AD18" s="21">
        <v>8.6999999999999994E-3</v>
      </c>
      <c r="AE18" s="24">
        <f t="shared" si="14"/>
        <v>367638.54399999994</v>
      </c>
      <c r="AF18" s="21">
        <v>6.7599999999999993E-2</v>
      </c>
      <c r="AG18" s="24">
        <f t="shared" si="15"/>
        <v>962060.03599999996</v>
      </c>
      <c r="AH18" s="21">
        <v>0.1769</v>
      </c>
      <c r="AI18" s="24">
        <f t="shared" si="16"/>
        <v>30999.108</v>
      </c>
      <c r="AJ18" s="21">
        <v>5.7000000000000002E-3</v>
      </c>
      <c r="AK18" s="24">
        <v>5438440</v>
      </c>
      <c r="AL18" s="21">
        <f t="shared" si="17"/>
        <v>1</v>
      </c>
    </row>
    <row r="19" spans="1:38" ht="18.75" x14ac:dyDescent="0.25">
      <c r="A19" s="28"/>
      <c r="B19" s="20" t="s">
        <v>37</v>
      </c>
      <c r="C19" s="24">
        <f>SUM(C7:C18)</f>
        <v>35933.735800000002</v>
      </c>
      <c r="D19" s="1"/>
      <c r="E19" s="24">
        <f>SUM(E7:E18)</f>
        <v>4051889.9747000001</v>
      </c>
      <c r="F19" s="1"/>
      <c r="G19" s="24">
        <f>SUM(G7:G18)</f>
        <v>237763.83470000001</v>
      </c>
      <c r="H19" s="21"/>
      <c r="I19" s="24">
        <f>SUM(I7:I18)</f>
        <v>931185.25599999994</v>
      </c>
      <c r="J19" s="1"/>
      <c r="K19" s="24">
        <f>SUM(K7:K18)</f>
        <v>982465.92830000003</v>
      </c>
      <c r="L19" s="21"/>
      <c r="M19" s="24">
        <f>SUM(M7:M18)</f>
        <v>2362760.0180999995</v>
      </c>
      <c r="N19" s="21"/>
      <c r="O19" s="24">
        <f>SUM(O7:O18)</f>
        <v>24201275.155399997</v>
      </c>
      <c r="P19" s="21"/>
      <c r="Q19" s="24">
        <f>SUM(Q7:Q18)</f>
        <v>5484478.0062999995</v>
      </c>
      <c r="R19" s="21"/>
      <c r="S19" s="24">
        <f>SUM(S7:S18)</f>
        <v>1092772.2756999999</v>
      </c>
      <c r="T19" s="21"/>
      <c r="U19" s="24">
        <f>SUM(U7:U18)</f>
        <v>2523399.6370999999</v>
      </c>
      <c r="V19" s="1"/>
      <c r="W19" s="24">
        <f>SUM(W7:W18)</f>
        <v>1350055.8655999999</v>
      </c>
      <c r="X19" s="1"/>
      <c r="Y19" s="24">
        <f>SUM(Y7:Y18)</f>
        <v>3019115.8059999994</v>
      </c>
      <c r="Z19" s="1"/>
      <c r="AA19" s="24">
        <f>SUM(AA7:AA18)</f>
        <v>727401.07559999998</v>
      </c>
      <c r="AB19" s="1"/>
      <c r="AC19" s="24">
        <f>SUM(AC7:AC18)</f>
        <v>528536.53599999996</v>
      </c>
      <c r="AD19" s="1"/>
      <c r="AE19" s="24">
        <f>SUM(AE7:AE18)</f>
        <v>4326026.6232000003</v>
      </c>
      <c r="AF19" s="21"/>
      <c r="AG19" s="24">
        <f>SUM(AG7:AG18)</f>
        <v>11927451.7806</v>
      </c>
      <c r="AH19" s="21"/>
      <c r="AI19" s="24">
        <f>SUM(AI7:AI18)</f>
        <v>221339.35960000003</v>
      </c>
      <c r="AJ19" s="21"/>
      <c r="AK19" s="24">
        <v>63965460</v>
      </c>
      <c r="AL19" s="21">
        <f t="shared" si="17"/>
        <v>1</v>
      </c>
    </row>
    <row r="27" spans="1:38" s="14" customFormat="1" ht="15.75" x14ac:dyDescent="0.25">
      <c r="B27" s="15"/>
      <c r="F27" s="48" t="s">
        <v>36</v>
      </c>
      <c r="G27" s="48"/>
      <c r="H27" s="48"/>
      <c r="I27" s="48"/>
      <c r="J27" s="48"/>
      <c r="K27" s="48"/>
      <c r="L27" s="48"/>
      <c r="M27" s="48"/>
    </row>
    <row r="28" spans="1:38" s="14" customFormat="1" ht="15.75" x14ac:dyDescent="0.25">
      <c r="B28" s="15"/>
      <c r="F28" s="16"/>
      <c r="G28" s="16"/>
      <c r="H28" s="16"/>
      <c r="I28" s="16"/>
      <c r="J28" s="16"/>
      <c r="K28" s="16"/>
      <c r="L28" s="16"/>
      <c r="M28" s="16"/>
      <c r="AJ28" s="23"/>
    </row>
    <row r="29" spans="1:38" s="14" customFormat="1" ht="18.75" x14ac:dyDescent="0.3">
      <c r="A29" s="17"/>
      <c r="B29" s="18"/>
      <c r="C29" s="17"/>
      <c r="D29" s="17"/>
      <c r="E29" s="17"/>
      <c r="F29" s="19"/>
      <c r="G29" s="19"/>
      <c r="H29" s="19"/>
      <c r="I29" s="49"/>
      <c r="J29" s="49"/>
      <c r="K29" s="49"/>
      <c r="L29" s="19"/>
      <c r="M29" s="19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ht="18.75" x14ac:dyDescent="0.3">
      <c r="A30" s="33" t="s">
        <v>0</v>
      </c>
      <c r="B30" s="33"/>
      <c r="C30" s="29" t="s">
        <v>15</v>
      </c>
      <c r="D30" s="29"/>
      <c r="E30" s="29" t="s">
        <v>16</v>
      </c>
      <c r="F30" s="29"/>
      <c r="G30" s="30" t="s">
        <v>17</v>
      </c>
      <c r="H30" s="30"/>
      <c r="I30" s="29" t="s">
        <v>18</v>
      </c>
      <c r="J30" s="29"/>
      <c r="K30" s="30" t="s">
        <v>19</v>
      </c>
      <c r="L30" s="30"/>
      <c r="M30" s="30" t="s">
        <v>20</v>
      </c>
      <c r="N30" s="30"/>
      <c r="O30" s="29" t="s">
        <v>21</v>
      </c>
      <c r="P30" s="29"/>
      <c r="Q30" s="29" t="s">
        <v>22</v>
      </c>
      <c r="R30" s="29"/>
      <c r="S30" s="29" t="s">
        <v>23</v>
      </c>
      <c r="T30" s="29"/>
      <c r="U30" s="30" t="s">
        <v>24</v>
      </c>
      <c r="V30" s="30"/>
      <c r="W30" s="31" t="s">
        <v>25</v>
      </c>
      <c r="X30" s="31"/>
      <c r="Y30" s="32" t="s">
        <v>26</v>
      </c>
      <c r="Z30" s="32"/>
      <c r="AA30" s="30" t="s">
        <v>27</v>
      </c>
      <c r="AB30" s="30"/>
      <c r="AC30" s="29" t="s">
        <v>28</v>
      </c>
      <c r="AD30" s="29"/>
      <c r="AE30" s="30" t="s">
        <v>29</v>
      </c>
      <c r="AF30" s="30"/>
      <c r="AG30" s="29" t="s">
        <v>30</v>
      </c>
      <c r="AH30" s="29"/>
      <c r="AI30" s="32" t="s">
        <v>31</v>
      </c>
      <c r="AJ30" s="32"/>
      <c r="AK30" s="29" t="s">
        <v>32</v>
      </c>
      <c r="AL30" s="29"/>
    </row>
    <row r="31" spans="1:38" ht="18.75" x14ac:dyDescent="0.25">
      <c r="A31" s="4" t="s">
        <v>14</v>
      </c>
      <c r="B31" s="4" t="s">
        <v>1</v>
      </c>
      <c r="C31" s="29"/>
      <c r="D31" s="29"/>
      <c r="E31" s="29"/>
      <c r="F31" s="29"/>
      <c r="G31" s="30"/>
      <c r="H31" s="30"/>
      <c r="I31" s="29"/>
      <c r="J31" s="29"/>
      <c r="K31" s="30"/>
      <c r="L31" s="30"/>
      <c r="M31" s="30"/>
      <c r="N31" s="30"/>
      <c r="O31" s="29"/>
      <c r="P31" s="29"/>
      <c r="Q31" s="29"/>
      <c r="R31" s="29"/>
      <c r="S31" s="29"/>
      <c r="T31" s="29"/>
      <c r="U31" s="30"/>
      <c r="V31" s="30"/>
      <c r="W31" s="31"/>
      <c r="X31" s="31"/>
      <c r="Y31" s="32"/>
      <c r="Z31" s="32"/>
      <c r="AA31" s="30"/>
      <c r="AB31" s="30"/>
      <c r="AC31" s="29"/>
      <c r="AD31" s="29"/>
      <c r="AE31" s="30"/>
      <c r="AF31" s="30"/>
      <c r="AG31" s="29"/>
      <c r="AH31" s="29"/>
      <c r="AI31" s="32"/>
      <c r="AJ31" s="32"/>
      <c r="AK31" s="29"/>
      <c r="AL31" s="29"/>
    </row>
    <row r="32" spans="1:38" ht="18.75" x14ac:dyDescent="0.3">
      <c r="A32" s="4"/>
      <c r="B32" s="4"/>
      <c r="C32" s="5" t="s">
        <v>33</v>
      </c>
      <c r="D32" s="13" t="s">
        <v>38</v>
      </c>
      <c r="E32" s="5" t="s">
        <v>33</v>
      </c>
      <c r="F32" s="13" t="s">
        <v>38</v>
      </c>
      <c r="G32" s="6" t="s">
        <v>33</v>
      </c>
      <c r="H32" s="13" t="s">
        <v>38</v>
      </c>
      <c r="I32" s="5" t="s">
        <v>33</v>
      </c>
      <c r="J32" s="13" t="s">
        <v>38</v>
      </c>
      <c r="K32" s="6" t="s">
        <v>33</v>
      </c>
      <c r="L32" s="13" t="s">
        <v>38</v>
      </c>
      <c r="M32" s="6" t="s">
        <v>33</v>
      </c>
      <c r="N32" s="13" t="s">
        <v>38</v>
      </c>
      <c r="O32" s="5" t="s">
        <v>33</v>
      </c>
      <c r="P32" s="13" t="s">
        <v>38</v>
      </c>
      <c r="Q32" s="5" t="s">
        <v>33</v>
      </c>
      <c r="R32" s="13" t="s">
        <v>38</v>
      </c>
      <c r="S32" s="5" t="s">
        <v>33</v>
      </c>
      <c r="T32" s="13" t="s">
        <v>38</v>
      </c>
      <c r="U32" s="6" t="s">
        <v>33</v>
      </c>
      <c r="V32" s="13" t="s">
        <v>38</v>
      </c>
      <c r="W32" s="7" t="s">
        <v>33</v>
      </c>
      <c r="X32" s="13" t="s">
        <v>38</v>
      </c>
      <c r="Y32" s="8" t="s">
        <v>33</v>
      </c>
      <c r="Z32" s="13" t="s">
        <v>38</v>
      </c>
      <c r="AA32" s="6" t="s">
        <v>33</v>
      </c>
      <c r="AB32" s="13" t="s">
        <v>38</v>
      </c>
      <c r="AC32" s="5" t="s">
        <v>33</v>
      </c>
      <c r="AD32" s="13" t="s">
        <v>38</v>
      </c>
      <c r="AE32" s="6" t="s">
        <v>33</v>
      </c>
      <c r="AF32" s="13" t="s">
        <v>38</v>
      </c>
      <c r="AG32" s="5" t="s">
        <v>33</v>
      </c>
      <c r="AH32" s="13" t="s">
        <v>38</v>
      </c>
      <c r="AI32" s="8" t="s">
        <v>33</v>
      </c>
      <c r="AJ32" s="13" t="s">
        <v>38</v>
      </c>
      <c r="AK32" s="5" t="s">
        <v>33</v>
      </c>
      <c r="AL32" s="13" t="s">
        <v>38</v>
      </c>
    </row>
    <row r="33" spans="1:38" ht="15" customHeight="1" x14ac:dyDescent="0.25">
      <c r="A33" s="50">
        <v>2019</v>
      </c>
      <c r="B33" s="50" t="s">
        <v>2</v>
      </c>
      <c r="C33" s="34">
        <v>4061</v>
      </c>
      <c r="D33" s="44">
        <f>+C33/AK33</f>
        <v>6.2022384872952615E-4</v>
      </c>
      <c r="E33" s="46">
        <v>363666</v>
      </c>
      <c r="F33" s="44">
        <f>E33/AK33</f>
        <v>5.5541572561455768E-2</v>
      </c>
      <c r="G33" s="34">
        <v>25507</v>
      </c>
      <c r="H33" s="37">
        <f>+G33/AK33</f>
        <v>3.8956044593804542E-3</v>
      </c>
      <c r="I33" s="34">
        <v>134991</v>
      </c>
      <c r="J33" s="37">
        <f>+I33/AK33</f>
        <v>2.0616753894077192E-2</v>
      </c>
      <c r="K33" s="34">
        <f>140847+200</f>
        <v>141047</v>
      </c>
      <c r="L33" s="37">
        <f>+K33/AK33</f>
        <v>2.1541667863027206E-2</v>
      </c>
      <c r="M33" s="34">
        <f>236041+2750</f>
        <v>238791</v>
      </c>
      <c r="N33" s="37">
        <f>+M33/AK33</f>
        <v>3.6469803758180812E-2</v>
      </c>
      <c r="O33" s="34">
        <f>2103589+57921</f>
        <v>2161510</v>
      </c>
      <c r="P33" s="37">
        <f>+O33/AK33</f>
        <v>0.33012067256029504</v>
      </c>
      <c r="Q33" s="34">
        <v>1044653</v>
      </c>
      <c r="R33" s="37">
        <f>+Q33/AK33</f>
        <v>0.15954659055573644</v>
      </c>
      <c r="S33" s="39">
        <v>169798</v>
      </c>
      <c r="T33" s="37">
        <f>+S33/AK33</f>
        <v>2.5932718312380223E-2</v>
      </c>
      <c r="U33" s="39">
        <v>184082</v>
      </c>
      <c r="V33" s="37">
        <f>+U33/AK33</f>
        <v>2.8114269027783464E-2</v>
      </c>
      <c r="W33" s="39">
        <f>112874+3000</f>
        <v>115874</v>
      </c>
      <c r="X33" s="37">
        <f>+W33/AK33</f>
        <v>1.7697074180666121E-2</v>
      </c>
      <c r="Y33" s="39">
        <f>255493+4000</f>
        <v>259493</v>
      </c>
      <c r="Z33" s="37">
        <f>+Y33/AK33</f>
        <v>3.9631555572117935E-2</v>
      </c>
      <c r="AA33" s="39">
        <v>78702</v>
      </c>
      <c r="AB33" s="37">
        <f>+AA33/AK33</f>
        <v>1.2019910697540303E-2</v>
      </c>
      <c r="AC33" s="39">
        <v>56815</v>
      </c>
      <c r="AD33" s="37">
        <f>+AC33/AK33</f>
        <v>8.6771775339985306E-3</v>
      </c>
      <c r="AE33" s="39">
        <v>371431</v>
      </c>
      <c r="AF33" s="37">
        <f>+AE33/AK33</f>
        <v>5.6727496763717467E-2</v>
      </c>
      <c r="AG33" s="39">
        <v>1051933</v>
      </c>
      <c r="AH33" s="37">
        <f>+AG33/AK33</f>
        <v>0.16065844222250594</v>
      </c>
      <c r="AI33" s="39">
        <f>116282+2000+27000</f>
        <v>145282</v>
      </c>
      <c r="AJ33" s="37">
        <f>+AI33/AK33</f>
        <v>2.218846618840754E-2</v>
      </c>
      <c r="AK33" s="39">
        <f>+C33+E33+G33+I33+K33+M33+O33+Q33+S33+U33+W33+Y33+AA33+AC33+AE33+AG33+AI33</f>
        <v>6547636</v>
      </c>
      <c r="AL33" s="41">
        <f>+D33+F33+H33+J33+L33+N33+P33+R33+T33+V33+X33+Z33+AB33+AD33+AF33+AH33+AJ33</f>
        <v>1</v>
      </c>
    </row>
    <row r="34" spans="1:38" ht="15" customHeight="1" x14ac:dyDescent="0.25">
      <c r="A34" s="50"/>
      <c r="B34" s="50"/>
      <c r="C34" s="35"/>
      <c r="D34" s="45"/>
      <c r="E34" s="47"/>
      <c r="F34" s="45"/>
      <c r="G34" s="35"/>
      <c r="H34" s="38"/>
      <c r="I34" s="35"/>
      <c r="J34" s="38"/>
      <c r="K34" s="35"/>
      <c r="L34" s="38"/>
      <c r="M34" s="35"/>
      <c r="N34" s="38"/>
      <c r="O34" s="35"/>
      <c r="P34" s="38"/>
      <c r="Q34" s="35"/>
      <c r="R34" s="38"/>
      <c r="S34" s="40"/>
      <c r="T34" s="38"/>
      <c r="U34" s="40"/>
      <c r="V34" s="38"/>
      <c r="W34" s="40"/>
      <c r="X34" s="38"/>
      <c r="Y34" s="40"/>
      <c r="Z34" s="38"/>
      <c r="AA34" s="40"/>
      <c r="AB34" s="38"/>
      <c r="AC34" s="40"/>
      <c r="AD34" s="38"/>
      <c r="AE34" s="40"/>
      <c r="AF34" s="38"/>
      <c r="AG34" s="40"/>
      <c r="AH34" s="38"/>
      <c r="AI34" s="40"/>
      <c r="AJ34" s="38"/>
      <c r="AK34" s="40"/>
      <c r="AL34" s="36"/>
    </row>
    <row r="35" spans="1:38" ht="15" customHeight="1" x14ac:dyDescent="0.25">
      <c r="A35" s="50"/>
      <c r="B35" s="50" t="s">
        <v>3</v>
      </c>
      <c r="C35" s="34">
        <v>3744</v>
      </c>
      <c r="D35" s="44">
        <f t="shared" ref="D35" si="18">+C35/AK35</f>
        <v>5.7333373352354614E-4</v>
      </c>
      <c r="E35" s="34">
        <v>360324</v>
      </c>
      <c r="F35" s="44">
        <f t="shared" ref="F35" si="19">E35/AK35</f>
        <v>5.5177859027280521E-2</v>
      </c>
      <c r="G35" s="34">
        <v>25229</v>
      </c>
      <c r="H35" s="37">
        <f t="shared" ref="H35" si="20">+G35/AK35</f>
        <v>3.8634179388529772E-3</v>
      </c>
      <c r="I35" s="34">
        <v>118176</v>
      </c>
      <c r="J35" s="37">
        <f t="shared" ref="J35" si="21">+I35/AK35</f>
        <v>1.8096764768397059E-2</v>
      </c>
      <c r="K35" s="34">
        <f>123577+200</f>
        <v>123777</v>
      </c>
      <c r="L35" s="37">
        <f t="shared" ref="L35" si="22">+K35/AK35</f>
        <v>1.8954468358532046E-2</v>
      </c>
      <c r="M35" s="34">
        <f>233135+2750</f>
        <v>235885</v>
      </c>
      <c r="N35" s="37">
        <f t="shared" ref="N35" si="23">+M35/AK35</f>
        <v>3.6122015954113698E-2</v>
      </c>
      <c r="O35" s="34">
        <f>2109840+60663</f>
        <v>2170503</v>
      </c>
      <c r="P35" s="37">
        <f t="shared" ref="P35" si="24">+O35/AK35</f>
        <v>0.33237782815546407</v>
      </c>
      <c r="Q35" s="34">
        <v>1093005</v>
      </c>
      <c r="R35" s="37">
        <f t="shared" ref="R35" si="25">+Q35/AK35</f>
        <v>0.16737623862444007</v>
      </c>
      <c r="S35" s="39">
        <v>140824</v>
      </c>
      <c r="T35" s="37">
        <f t="shared" ref="T35" si="26">+S35/AK35</f>
        <v>2.1564943827382443E-2</v>
      </c>
      <c r="U35" s="39">
        <v>183588</v>
      </c>
      <c r="V35" s="37">
        <f t="shared" ref="V35" si="27">+U35/AK35</f>
        <v>2.811356663197671E-2</v>
      </c>
      <c r="W35" s="39">
        <f>111865+3000</f>
        <v>114865</v>
      </c>
      <c r="X35" s="37">
        <f t="shared" ref="X35" si="28">+W35/AK35</f>
        <v>1.7589738061213177E-2</v>
      </c>
      <c r="Y35" s="39">
        <f>263483+4000</f>
        <v>267483</v>
      </c>
      <c r="Z35" s="37">
        <f t="shared" ref="Z35" si="29">+Y35/AK35</f>
        <v>4.0960744402798802E-2</v>
      </c>
      <c r="AA35" s="39">
        <v>71263</v>
      </c>
      <c r="AB35" s="37">
        <f t="shared" ref="AB35" si="30">+AA35/AK35</f>
        <v>1.0912788956220212E-2</v>
      </c>
      <c r="AC35" s="39">
        <v>54887</v>
      </c>
      <c r="AD35" s="37">
        <f t="shared" ref="AD35" si="31">+AC35/AK35</f>
        <v>8.4050664080947864E-3</v>
      </c>
      <c r="AE35" s="39">
        <v>369304</v>
      </c>
      <c r="AF35" s="37">
        <f t="shared" ref="AF35" si="32">+AE35/AK35</f>
        <v>5.6553002437280904E-2</v>
      </c>
      <c r="AG35" s="39">
        <v>1051182</v>
      </c>
      <c r="AH35" s="37">
        <f t="shared" ref="AH35" si="33">+AG35/AK35</f>
        <v>0.1609717149232768</v>
      </c>
      <c r="AI35" s="39">
        <f>117189+2000+27000</f>
        <v>146189</v>
      </c>
      <c r="AJ35" s="37">
        <f t="shared" ref="AJ35" si="34">+AI35/AK35</f>
        <v>2.2386507791152161E-2</v>
      </c>
      <c r="AK35" s="39">
        <f>+C35+E35+G35+I35+K35+M35+O35+Q35+S35+U35+W35+Y35+AA35+AC35+AE35+AG35+AI35</f>
        <v>6530228</v>
      </c>
      <c r="AL35" s="41">
        <f t="shared" ref="AL35" si="35">+D35+F35+H35+J35+L35+N35+P35+R35+T35+V35+X35+Z35+AB35+AD35+AF35+AH35+AJ35</f>
        <v>1</v>
      </c>
    </row>
    <row r="36" spans="1:38" ht="15" customHeight="1" x14ac:dyDescent="0.25">
      <c r="A36" s="50"/>
      <c r="B36" s="50"/>
      <c r="C36" s="35"/>
      <c r="D36" s="45"/>
      <c r="E36" s="35"/>
      <c r="F36" s="45"/>
      <c r="G36" s="35"/>
      <c r="H36" s="38"/>
      <c r="I36" s="35"/>
      <c r="J36" s="38"/>
      <c r="K36" s="35"/>
      <c r="L36" s="38"/>
      <c r="M36" s="35"/>
      <c r="N36" s="38"/>
      <c r="O36" s="35"/>
      <c r="P36" s="38"/>
      <c r="Q36" s="35"/>
      <c r="R36" s="38"/>
      <c r="S36" s="40"/>
      <c r="T36" s="38"/>
      <c r="U36" s="40"/>
      <c r="V36" s="38"/>
      <c r="W36" s="40"/>
      <c r="X36" s="38"/>
      <c r="Y36" s="40"/>
      <c r="Z36" s="38"/>
      <c r="AA36" s="40"/>
      <c r="AB36" s="38"/>
      <c r="AC36" s="40"/>
      <c r="AD36" s="38"/>
      <c r="AE36" s="40"/>
      <c r="AF36" s="38"/>
      <c r="AG36" s="40"/>
      <c r="AH36" s="38"/>
      <c r="AI36" s="40"/>
      <c r="AJ36" s="38"/>
      <c r="AK36" s="40"/>
      <c r="AL36" s="36"/>
    </row>
    <row r="37" spans="1:38" ht="15" customHeight="1" x14ac:dyDescent="0.25">
      <c r="A37" s="50"/>
      <c r="B37" s="50" t="s">
        <v>4</v>
      </c>
      <c r="C37" s="34">
        <v>3696</v>
      </c>
      <c r="D37" s="44">
        <f t="shared" ref="D37" si="36">+C37/AK37</f>
        <v>5.6630477401359779E-4</v>
      </c>
      <c r="E37" s="34">
        <v>360136</v>
      </c>
      <c r="F37" s="44">
        <f t="shared" ref="F37" si="37">E37/AK37</f>
        <v>5.5180393964870414E-2</v>
      </c>
      <c r="G37" s="34">
        <v>33396</v>
      </c>
      <c r="H37" s="37">
        <f t="shared" ref="H37" si="38">+G37/AK37</f>
        <v>5.1169681366228653E-3</v>
      </c>
      <c r="I37" s="34">
        <v>118627</v>
      </c>
      <c r="J37" s="37">
        <f t="shared" ref="J37" si="39">+I37/AK37</f>
        <v>1.8176146219402344E-2</v>
      </c>
      <c r="K37" s="34">
        <f>126252+200</f>
        <v>126452</v>
      </c>
      <c r="L37" s="37">
        <f t="shared" ref="L37" si="40">+K37/AK37</f>
        <v>1.9375100455510677E-2</v>
      </c>
      <c r="M37" s="34">
        <f>245114+2750</f>
        <v>247864</v>
      </c>
      <c r="N37" s="37">
        <f t="shared" ref="N37" si="41">+M37/AK37</f>
        <v>3.7977967128275537E-2</v>
      </c>
      <c r="O37" s="34">
        <f>2123982+70678</f>
        <v>2194660</v>
      </c>
      <c r="P37" s="37">
        <f t="shared" ref="P37" si="42">+O37/AK37</f>
        <v>0.3362679749287561</v>
      </c>
      <c r="Q37" s="34">
        <v>1051209</v>
      </c>
      <c r="R37" s="37">
        <f t="shared" ref="R37" si="43">+Q37/AK37</f>
        <v>0.16106728224731062</v>
      </c>
      <c r="S37" s="39">
        <v>143717</v>
      </c>
      <c r="T37" s="37">
        <f t="shared" ref="T37" si="44">+S37/AK37</f>
        <v>2.2020460824381013E-2</v>
      </c>
      <c r="U37" s="39">
        <v>183439</v>
      </c>
      <c r="V37" s="37">
        <f t="shared" ref="V37" si="45">+U37/AK37</f>
        <v>2.8106704935140791E-2</v>
      </c>
      <c r="W37" s="39">
        <f>111816+3000</f>
        <v>114816</v>
      </c>
      <c r="X37" s="37">
        <f t="shared" ref="X37" si="46">+W37/AK37</f>
        <v>1.7592221031695141E-2</v>
      </c>
      <c r="Y37" s="39">
        <f>263492+4000</f>
        <v>267492</v>
      </c>
      <c r="Z37" s="37">
        <f t="shared" ref="Z37" si="47">+Y37/AK37</f>
        <v>4.0985388693302295E-2</v>
      </c>
      <c r="AA37" s="39">
        <v>71524</v>
      </c>
      <c r="AB37" s="37">
        <f t="shared" ref="AB37" si="48">+AA37/AK37</f>
        <v>1.0958977991490412E-2</v>
      </c>
      <c r="AC37" s="39">
        <v>54602</v>
      </c>
      <c r="AD37" s="37">
        <f t="shared" ref="AD37" si="49">+AC37/AK37</f>
        <v>8.3661724217236107E-3</v>
      </c>
      <c r="AE37" s="39">
        <v>370696</v>
      </c>
      <c r="AF37" s="37">
        <f t="shared" ref="AF37" si="50">+AE37/AK37</f>
        <v>5.6798407604909264E-2</v>
      </c>
      <c r="AG37" s="39">
        <v>1036662</v>
      </c>
      <c r="AH37" s="37">
        <f t="shared" ref="AH37" si="51">+AG37/AK37</f>
        <v>0.15883837652556393</v>
      </c>
      <c r="AI37" s="39">
        <f>118533+2000+27000</f>
        <v>147533</v>
      </c>
      <c r="AJ37" s="37">
        <f t="shared" ref="AJ37" si="52">+AI37/AK37</f>
        <v>2.2605152117031416E-2</v>
      </c>
      <c r="AK37" s="39">
        <f t="shared" ref="AK37:AK39" si="53">+C37+E37+G37+I37+K37+M37+O37+Q37+S37+U37+W37+Y37+AA37+AC37+AE37+AG37+AI37</f>
        <v>6526521</v>
      </c>
      <c r="AL37" s="41">
        <f t="shared" ref="AL37" si="54">+D37+F37+H37+J37+L37+N37+P37+R37+T37+V37+X37+Z37+AB37+AD37+AF37+AH37+AJ37</f>
        <v>1</v>
      </c>
    </row>
    <row r="38" spans="1:38" ht="15" customHeight="1" x14ac:dyDescent="0.25">
      <c r="A38" s="50"/>
      <c r="B38" s="50"/>
      <c r="C38" s="35"/>
      <c r="D38" s="45"/>
      <c r="E38" s="35"/>
      <c r="F38" s="45"/>
      <c r="G38" s="35"/>
      <c r="H38" s="38"/>
      <c r="I38" s="35"/>
      <c r="J38" s="38"/>
      <c r="K38" s="35"/>
      <c r="L38" s="38"/>
      <c r="M38" s="35"/>
      <c r="N38" s="38"/>
      <c r="O38" s="35"/>
      <c r="P38" s="38"/>
      <c r="Q38" s="35"/>
      <c r="R38" s="38"/>
      <c r="S38" s="40"/>
      <c r="T38" s="38"/>
      <c r="U38" s="40"/>
      <c r="V38" s="38"/>
      <c r="W38" s="40"/>
      <c r="X38" s="38"/>
      <c r="Y38" s="40"/>
      <c r="Z38" s="38"/>
      <c r="AA38" s="40"/>
      <c r="AB38" s="38"/>
      <c r="AC38" s="40"/>
      <c r="AD38" s="38"/>
      <c r="AE38" s="40"/>
      <c r="AF38" s="38"/>
      <c r="AG38" s="40"/>
      <c r="AH38" s="38"/>
      <c r="AI38" s="40"/>
      <c r="AJ38" s="38"/>
      <c r="AK38" s="40"/>
      <c r="AL38" s="36"/>
    </row>
    <row r="39" spans="1:38" ht="15" customHeight="1" x14ac:dyDescent="0.25">
      <c r="A39" s="50"/>
      <c r="B39" s="50" t="s">
        <v>5</v>
      </c>
      <c r="C39" s="34">
        <v>3591</v>
      </c>
      <c r="D39" s="44">
        <f t="shared" ref="D39" si="55">+C39/AK39</f>
        <v>5.4856436839939278E-4</v>
      </c>
      <c r="E39" s="34">
        <v>359698</v>
      </c>
      <c r="F39" s="44">
        <f t="shared" ref="F39" si="56">E39/AK39</f>
        <v>5.4947787854225778E-2</v>
      </c>
      <c r="G39" s="34">
        <v>33098</v>
      </c>
      <c r="H39" s="37">
        <f t="shared" ref="H39" si="57">+G39/AK39</f>
        <v>5.0560800515965197E-3</v>
      </c>
      <c r="I39" s="34">
        <v>119057</v>
      </c>
      <c r="J39" s="37">
        <f t="shared" ref="J39" si="58">+I39/AK39</f>
        <v>1.8187253692154414E-2</v>
      </c>
      <c r="K39" s="34">
        <f>125700+200</f>
        <v>125900</v>
      </c>
      <c r="L39" s="37">
        <f t="shared" ref="L39" si="59">+K39/AK39</f>
        <v>1.9232596486071719E-2</v>
      </c>
      <c r="M39" s="34">
        <f>244917+2750</f>
        <v>247667</v>
      </c>
      <c r="N39" s="37">
        <f t="shared" ref="N39" si="60">+M39/AK39</f>
        <v>3.783383219949106E-2</v>
      </c>
      <c r="O39" s="34">
        <f>2126481+85823</f>
        <v>2212304</v>
      </c>
      <c r="P39" s="37">
        <f t="shared" ref="P39" si="61">+O39/AK39</f>
        <v>0.33795353563560293</v>
      </c>
      <c r="Q39" s="34">
        <v>1051575</v>
      </c>
      <c r="R39" s="37">
        <f t="shared" ref="R39" si="62">+Q39/AK39</f>
        <v>0.16063953653567012</v>
      </c>
      <c r="S39" s="39">
        <v>142549</v>
      </c>
      <c r="T39" s="37">
        <f t="shared" ref="T39" si="63">+S39/AK39</f>
        <v>2.1775912601215548E-2</v>
      </c>
      <c r="U39" s="39">
        <v>183339</v>
      </c>
      <c r="V39" s="37">
        <f t="shared" ref="V39" si="64">+U39/AK39</f>
        <v>2.8007029445273258E-2</v>
      </c>
      <c r="W39" s="39">
        <f>111525+3000</f>
        <v>114525</v>
      </c>
      <c r="X39" s="37">
        <f t="shared" ref="X39" si="65">+W39/AK39</f>
        <v>1.7494941323013213E-2</v>
      </c>
      <c r="Y39" s="39">
        <f>263463+4000</f>
        <v>267463</v>
      </c>
      <c r="Z39" s="37">
        <f t="shared" ref="Z39" si="66">+Y39/AK39</f>
        <v>4.0857886846339952E-2</v>
      </c>
      <c r="AA39" s="39">
        <v>72502</v>
      </c>
      <c r="AB39" s="37">
        <f t="shared" ref="AB39" si="67">+AA39/AK39</f>
        <v>1.1075470297324638E-2</v>
      </c>
      <c r="AC39" s="39">
        <v>54479</v>
      </c>
      <c r="AD39" s="37">
        <f t="shared" ref="AD39" si="68">+AC39/AK39</f>
        <v>8.3222607145726872E-3</v>
      </c>
      <c r="AE39" s="39">
        <v>370466</v>
      </c>
      <c r="AF39" s="37">
        <f t="shared" ref="AF39" si="69">+AE39/AK39</f>
        <v>5.659271715495668E-2</v>
      </c>
      <c r="AG39" s="39">
        <v>1037857</v>
      </c>
      <c r="AH39" s="37">
        <f t="shared" ref="AH39" si="70">+AG39/AK39</f>
        <v>0.15854396259924494</v>
      </c>
      <c r="AI39" s="39">
        <f>120329+2000+27000+779</f>
        <v>150108</v>
      </c>
      <c r="AJ39" s="37">
        <f t="shared" ref="AJ39" si="71">+AI39/AK39</f>
        <v>2.2930632194847131E-2</v>
      </c>
      <c r="AK39" s="39">
        <f t="shared" si="53"/>
        <v>6546178</v>
      </c>
      <c r="AL39" s="41">
        <f t="shared" ref="AL39" si="72">+D39+F39+H39+J39+L39+N39+P39+R39+T39+V39+X39+Z39+AB39+AD39+AF39+AH39+AJ39</f>
        <v>1</v>
      </c>
    </row>
    <row r="40" spans="1:38" ht="15" customHeight="1" x14ac:dyDescent="0.25">
      <c r="A40" s="50"/>
      <c r="B40" s="50"/>
      <c r="C40" s="35"/>
      <c r="D40" s="45"/>
      <c r="E40" s="35"/>
      <c r="F40" s="45"/>
      <c r="G40" s="35"/>
      <c r="H40" s="38"/>
      <c r="I40" s="35"/>
      <c r="J40" s="38"/>
      <c r="K40" s="35"/>
      <c r="L40" s="38"/>
      <c r="M40" s="35"/>
      <c r="N40" s="38"/>
      <c r="O40" s="35"/>
      <c r="P40" s="38"/>
      <c r="Q40" s="35"/>
      <c r="R40" s="38"/>
      <c r="S40" s="40"/>
      <c r="T40" s="38"/>
      <c r="U40" s="40"/>
      <c r="V40" s="38"/>
      <c r="W40" s="40"/>
      <c r="X40" s="38"/>
      <c r="Y40" s="40"/>
      <c r="Z40" s="38"/>
      <c r="AA40" s="40"/>
      <c r="AB40" s="38"/>
      <c r="AC40" s="40"/>
      <c r="AD40" s="38"/>
      <c r="AE40" s="40"/>
      <c r="AF40" s="38"/>
      <c r="AG40" s="40"/>
      <c r="AH40" s="38"/>
      <c r="AI40" s="40"/>
      <c r="AJ40" s="38"/>
      <c r="AK40" s="40"/>
      <c r="AL40" s="36"/>
    </row>
    <row r="41" spans="1:38" ht="15" customHeight="1" x14ac:dyDescent="0.25">
      <c r="A41" s="50"/>
      <c r="B41" s="50" t="s">
        <v>6</v>
      </c>
      <c r="C41" s="34">
        <v>3582</v>
      </c>
      <c r="D41" s="44">
        <f t="shared" ref="D41" si="73">+C41/AK41</f>
        <v>5.480583022647109E-4</v>
      </c>
      <c r="E41" s="34">
        <v>359662</v>
      </c>
      <c r="F41" s="44">
        <f t="shared" ref="F41" si="74">E41/AK41</f>
        <v>5.5029521247663443E-2</v>
      </c>
      <c r="G41" s="34">
        <v>33020</v>
      </c>
      <c r="H41" s="37">
        <f t="shared" ref="H41" si="75">+G41/AK41</f>
        <v>5.0521734061364475E-3</v>
      </c>
      <c r="I41" s="34">
        <v>119170</v>
      </c>
      <c r="J41" s="37">
        <f t="shared" ref="J41" si="76">+I41/AK41</f>
        <v>1.8233419285562703E-2</v>
      </c>
      <c r="K41" s="34">
        <f>126803+200</f>
        <v>127003</v>
      </c>
      <c r="L41" s="37">
        <f t="shared" ref="L41" si="77">+K41/AK41</f>
        <v>1.9431895187751281E-2</v>
      </c>
      <c r="M41" s="34">
        <f>244790+2750</f>
        <v>247540</v>
      </c>
      <c r="N41" s="37">
        <f t="shared" ref="N41" si="78">+M41/AK41</f>
        <v>3.7874470168231866E-2</v>
      </c>
      <c r="O41" s="34">
        <f>2121799+95361</f>
        <v>2217160</v>
      </c>
      <c r="P41" s="37">
        <f t="shared" ref="P41" si="79">+O41/AK41</f>
        <v>0.33923309476527819</v>
      </c>
      <c r="Q41" s="34">
        <v>1050835</v>
      </c>
      <c r="R41" s="37">
        <f t="shared" ref="R41" si="80">+Q41/AK41</f>
        <v>0.16078136405927904</v>
      </c>
      <c r="S41" s="39">
        <v>145375</v>
      </c>
      <c r="T41" s="37">
        <f t="shared" ref="T41" si="81">+S41/AK41</f>
        <v>2.2242874285799092E-2</v>
      </c>
      <c r="U41" s="39">
        <v>169381</v>
      </c>
      <c r="V41" s="37">
        <f t="shared" ref="V41" si="82">+U41/AK41</f>
        <v>2.5915874733640147E-2</v>
      </c>
      <c r="W41" s="39">
        <f>105625+3000</f>
        <v>108625</v>
      </c>
      <c r="X41" s="37">
        <f t="shared" ref="X41" si="83">+W41/AK41</f>
        <v>1.6619998069096656E-2</v>
      </c>
      <c r="Y41" s="39">
        <f>263440+8000</f>
        <v>271440</v>
      </c>
      <c r="Z41" s="37">
        <f t="shared" ref="Z41" si="84">+Y41/AK41</f>
        <v>4.1531252252019299E-2</v>
      </c>
      <c r="AA41" s="39">
        <v>73651</v>
      </c>
      <c r="AB41" s="37">
        <f t="shared" ref="AB41" si="85">+AA41/AK41</f>
        <v>1.1268855952009554E-2</v>
      </c>
      <c r="AC41" s="39">
        <v>54454</v>
      </c>
      <c r="AD41" s="37">
        <f t="shared" ref="AD41" si="86">+AC41/AK41</f>
        <v>8.3316490205255639E-3</v>
      </c>
      <c r="AE41" s="39">
        <v>374136</v>
      </c>
      <c r="AF41" s="37">
        <f t="shared" ref="AF41" si="87">+AE41/AK41</f>
        <v>5.7244092958154628E-2</v>
      </c>
      <c r="AG41" s="39">
        <v>1030334</v>
      </c>
      <c r="AH41" s="37">
        <f t="shared" ref="AH41" si="88">+AG41/AK41</f>
        <v>0.15764464064924866</v>
      </c>
      <c r="AI41" s="39">
        <f>120652+2000+27000+781</f>
        <v>150433</v>
      </c>
      <c r="AJ41" s="37">
        <f t="shared" ref="AJ41" si="89">+AI41/AK41</f>
        <v>2.3016765657338709E-2</v>
      </c>
      <c r="AK41" s="39">
        <f t="shared" ref="AK41" si="90">+C41+E41+G41+I41+K41+M41+O41+Q41+S41+U41+W41+Y41+AA41+AC41+AE41+AG41+AI41</f>
        <v>6535801</v>
      </c>
      <c r="AL41" s="41">
        <f t="shared" ref="AL41" si="91">+D41+F41+H41+J41+L41+N41+P41+R41+T41+V41+X41+Z41+AB41+AD41+AF41+AH41+AJ41</f>
        <v>0.99999999999999967</v>
      </c>
    </row>
    <row r="42" spans="1:38" ht="15" customHeight="1" x14ac:dyDescent="0.25">
      <c r="A42" s="50"/>
      <c r="B42" s="50"/>
      <c r="C42" s="35"/>
      <c r="D42" s="45"/>
      <c r="E42" s="35"/>
      <c r="F42" s="45"/>
      <c r="G42" s="35"/>
      <c r="H42" s="38"/>
      <c r="I42" s="35"/>
      <c r="J42" s="38"/>
      <c r="K42" s="35"/>
      <c r="L42" s="38"/>
      <c r="M42" s="35"/>
      <c r="N42" s="38"/>
      <c r="O42" s="35"/>
      <c r="P42" s="38"/>
      <c r="Q42" s="35"/>
      <c r="R42" s="38"/>
      <c r="S42" s="40"/>
      <c r="T42" s="38"/>
      <c r="U42" s="40"/>
      <c r="V42" s="38"/>
      <c r="W42" s="40"/>
      <c r="X42" s="38"/>
      <c r="Y42" s="40"/>
      <c r="Z42" s="38"/>
      <c r="AA42" s="40"/>
      <c r="AB42" s="38"/>
      <c r="AC42" s="40"/>
      <c r="AD42" s="38"/>
      <c r="AE42" s="40"/>
      <c r="AF42" s="38"/>
      <c r="AG42" s="40"/>
      <c r="AH42" s="38"/>
      <c r="AI42" s="40"/>
      <c r="AJ42" s="38"/>
      <c r="AK42" s="40"/>
      <c r="AL42" s="36"/>
    </row>
    <row r="43" spans="1:38" ht="15" customHeight="1" x14ac:dyDescent="0.25">
      <c r="A43" s="50"/>
      <c r="B43" s="50" t="s">
        <v>7</v>
      </c>
      <c r="C43" s="34">
        <v>3528</v>
      </c>
      <c r="D43" s="44">
        <f t="shared" ref="D43" si="92">+C43/AK43</f>
        <v>5.3934117824033518E-4</v>
      </c>
      <c r="E43" s="34">
        <v>359536</v>
      </c>
      <c r="F43" s="44">
        <f t="shared" ref="F43" si="93">E43/AK43</f>
        <v>5.4963880345753162E-2</v>
      </c>
      <c r="G43" s="34">
        <v>33015</v>
      </c>
      <c r="H43" s="37">
        <f t="shared" ref="H43" si="94">+G43/AK43</f>
        <v>5.0471510769854499E-3</v>
      </c>
      <c r="I43" s="34">
        <v>119265</v>
      </c>
      <c r="J43" s="37">
        <f t="shared" ref="J43" si="95">+I43/AK43</f>
        <v>1.8232575289918816E-2</v>
      </c>
      <c r="K43" s="34">
        <f>127182+200</f>
        <v>127382</v>
      </c>
      <c r="L43" s="37">
        <f t="shared" ref="L43" si="96">+K43/AK43</f>
        <v>1.9473457473529018E-2</v>
      </c>
      <c r="M43" s="34">
        <f>244604+2750</f>
        <v>247354</v>
      </c>
      <c r="N43" s="37">
        <f t="shared" ref="N43" si="97">+M43/AK43</f>
        <v>3.7814115023372979E-2</v>
      </c>
      <c r="O43" s="34">
        <f>2147074+84681</f>
        <v>2231755</v>
      </c>
      <c r="P43" s="37">
        <f t="shared" ref="P43" si="98">+O43/AK43</f>
        <v>0.34117839320968235</v>
      </c>
      <c r="Q43" s="34">
        <v>1044811</v>
      </c>
      <c r="R43" s="37">
        <f t="shared" ref="R43" si="99">+Q43/AK43</f>
        <v>0.15972494211407678</v>
      </c>
      <c r="S43" s="39">
        <v>146632</v>
      </c>
      <c r="T43" s="37">
        <f t="shared" ref="T43" si="100">+S43/AK43</f>
        <v>2.2416291283372119E-2</v>
      </c>
      <c r="U43" s="39">
        <v>167413</v>
      </c>
      <c r="V43" s="37">
        <f t="shared" ref="V43" si="101">+U43/AK43</f>
        <v>2.5593175927650012E-2</v>
      </c>
      <c r="W43" s="39">
        <f>105558+3000</f>
        <v>108558</v>
      </c>
      <c r="X43" s="37">
        <f t="shared" ref="X43" si="102">+W43/AK43</f>
        <v>1.659574819371154E-2</v>
      </c>
      <c r="Y43" s="39">
        <f>263443+8000</f>
        <v>271443</v>
      </c>
      <c r="Z43" s="37">
        <f t="shared" ref="Z43" si="103">+Y43/AK43</f>
        <v>4.1496708459492999E-2</v>
      </c>
      <c r="AA43" s="39">
        <v>73548</v>
      </c>
      <c r="AB43" s="37">
        <f t="shared" ref="AB43" si="104">+AA43/AK43</f>
        <v>1.1243612521887804E-2</v>
      </c>
      <c r="AC43" s="39">
        <v>54318</v>
      </c>
      <c r="AD43" s="37">
        <f t="shared" ref="AD43" si="105">+AC43/AK43</f>
        <v>8.3038362017172698E-3</v>
      </c>
      <c r="AE43" s="39">
        <v>373781</v>
      </c>
      <c r="AF43" s="37">
        <f t="shared" ref="AF43" si="106">+AE43/AK43</f>
        <v>5.7141577365037055E-2</v>
      </c>
      <c r="AG43" s="39">
        <v>1027991</v>
      </c>
      <c r="AH43" s="37">
        <f t="shared" ref="AH43" si="107">+AG43/AK43</f>
        <v>0.15715359329945022</v>
      </c>
      <c r="AI43" s="39">
        <f>121205+2000+27000+779</f>
        <v>150984</v>
      </c>
      <c r="AJ43" s="37">
        <f t="shared" ref="AJ43" si="108">+AI43/AK43</f>
        <v>2.3081601036122099E-2</v>
      </c>
      <c r="AK43" s="39">
        <f t="shared" ref="AK43:AK45" si="109">+C43+E43+G43+I43+K43+M43+O43+Q43+S43+U43+W43+Y43+AA43+AC43+AE43+AG43+AI43</f>
        <v>6541314</v>
      </c>
      <c r="AL43" s="41">
        <f t="shared" ref="AL43:AL55" si="110">+D43+F43+H43+J43+L43+N43+P43+R43+T43+V43+X43+Z43+AB43+AD43+AF43+AH43+AJ43</f>
        <v>1</v>
      </c>
    </row>
    <row r="44" spans="1:38" ht="15" customHeight="1" x14ac:dyDescent="0.25">
      <c r="A44" s="50"/>
      <c r="B44" s="50"/>
      <c r="C44" s="35"/>
      <c r="D44" s="45"/>
      <c r="E44" s="35"/>
      <c r="F44" s="45"/>
      <c r="G44" s="35"/>
      <c r="H44" s="38"/>
      <c r="I44" s="35"/>
      <c r="J44" s="38"/>
      <c r="K44" s="35"/>
      <c r="L44" s="38"/>
      <c r="M44" s="35"/>
      <c r="N44" s="38"/>
      <c r="O44" s="35"/>
      <c r="P44" s="38"/>
      <c r="Q44" s="35"/>
      <c r="R44" s="38"/>
      <c r="S44" s="40"/>
      <c r="T44" s="38"/>
      <c r="U44" s="40"/>
      <c r="V44" s="38"/>
      <c r="W44" s="40"/>
      <c r="X44" s="38"/>
      <c r="Y44" s="40"/>
      <c r="Z44" s="38"/>
      <c r="AA44" s="40"/>
      <c r="AB44" s="38"/>
      <c r="AC44" s="40"/>
      <c r="AD44" s="38"/>
      <c r="AE44" s="40"/>
      <c r="AF44" s="38"/>
      <c r="AG44" s="40"/>
      <c r="AH44" s="38"/>
      <c r="AI44" s="40"/>
      <c r="AJ44" s="38"/>
      <c r="AK44" s="40"/>
      <c r="AL44" s="36"/>
    </row>
    <row r="45" spans="1:38" ht="15" customHeight="1" x14ac:dyDescent="0.3">
      <c r="A45" s="50"/>
      <c r="B45" s="50" t="s">
        <v>8</v>
      </c>
      <c r="C45" s="34">
        <v>3969</v>
      </c>
      <c r="D45" s="44">
        <f>C45/AK45</f>
        <v>5.8628587381928535E-4</v>
      </c>
      <c r="E45" s="34">
        <v>361455</v>
      </c>
      <c r="F45" s="44">
        <f>E45/AK45</f>
        <v>5.3392784207949052E-2</v>
      </c>
      <c r="G45" s="34">
        <v>33242</v>
      </c>
      <c r="H45" s="37">
        <f>G45/AK45</f>
        <v>4.9103842321745238E-3</v>
      </c>
      <c r="I45" s="34">
        <v>126137</v>
      </c>
      <c r="J45" s="37">
        <f>I45/AK45</f>
        <v>1.8632487091444494E-2</v>
      </c>
      <c r="K45" s="34">
        <v>146475</v>
      </c>
      <c r="L45" s="37">
        <f>K45/AK45</f>
        <v>2.163674058142601E-2</v>
      </c>
      <c r="M45" s="34">
        <f>245248+2750</f>
        <v>247998</v>
      </c>
      <c r="N45" s="37">
        <f>M45/AK45</f>
        <v>3.663333941431976E-2</v>
      </c>
      <c r="O45" s="34">
        <f>2152474+69274</f>
        <v>2221748</v>
      </c>
      <c r="P45" s="37">
        <f>O45/AK45</f>
        <v>0.32818832642636675</v>
      </c>
      <c r="Q45" s="34">
        <v>1226270</v>
      </c>
      <c r="R45" s="37">
        <f>Q45/AK45</f>
        <v>0.18114002985345806</v>
      </c>
      <c r="S45" s="34">
        <v>177965</v>
      </c>
      <c r="T45" s="37">
        <f>S45/AK45</f>
        <v>2.6288325909359821E-2</v>
      </c>
      <c r="U45" s="34">
        <v>166120</v>
      </c>
      <c r="V45" s="37">
        <f>U45/AK45</f>
        <v>2.4538626696613677E-2</v>
      </c>
      <c r="W45" s="34">
        <f>104657+3000</f>
        <v>107657</v>
      </c>
      <c r="X45" s="37">
        <f>W45/AK45</f>
        <v>1.5902690430275337E-2</v>
      </c>
      <c r="Y45" s="34">
        <f>263563+8000</f>
        <v>271563</v>
      </c>
      <c r="Z45" s="37">
        <f>Y45/AK45</f>
        <v>4.0114273306119073E-2</v>
      </c>
      <c r="AA45" s="34">
        <v>81407</v>
      </c>
      <c r="AB45" s="37">
        <f>AA45/AK45</f>
        <v>1.2025138354750961E-2</v>
      </c>
      <c r="AC45" s="34">
        <v>54966</v>
      </c>
      <c r="AD45" s="37">
        <f>AC45/AK45</f>
        <v>8.1193724717437236E-3</v>
      </c>
      <c r="AE45" s="34">
        <v>375069</v>
      </c>
      <c r="AF45" s="37">
        <f>AE45/AK45</f>
        <v>5.5403793501518153E-2</v>
      </c>
      <c r="AG45" s="34">
        <v>1027204</v>
      </c>
      <c r="AH45" s="37">
        <f>AG45/AK45</f>
        <v>0.15173474294045483</v>
      </c>
      <c r="AI45" s="34">
        <f>110711+2000+27000+779</f>
        <v>140490</v>
      </c>
      <c r="AJ45" s="37">
        <f>AI45/AK45</f>
        <v>2.0752658708206452E-2</v>
      </c>
      <c r="AK45" s="39">
        <f t="shared" si="109"/>
        <v>6769735</v>
      </c>
      <c r="AL45" s="41">
        <f t="shared" si="110"/>
        <v>1</v>
      </c>
    </row>
    <row r="46" spans="1:38" ht="15" customHeight="1" x14ac:dyDescent="0.3">
      <c r="A46" s="50"/>
      <c r="B46" s="50"/>
      <c r="C46" s="35"/>
      <c r="D46" s="45"/>
      <c r="E46" s="35"/>
      <c r="F46" s="45"/>
      <c r="G46" s="35"/>
      <c r="H46" s="38"/>
      <c r="I46" s="35"/>
      <c r="J46" s="38"/>
      <c r="K46" s="35"/>
      <c r="L46" s="38"/>
      <c r="M46" s="35"/>
      <c r="N46" s="38"/>
      <c r="O46" s="35"/>
      <c r="P46" s="38"/>
      <c r="Q46" s="35"/>
      <c r="R46" s="38"/>
      <c r="S46" s="35"/>
      <c r="T46" s="38"/>
      <c r="U46" s="35"/>
      <c r="V46" s="38"/>
      <c r="W46" s="35"/>
      <c r="X46" s="38"/>
      <c r="Y46" s="35"/>
      <c r="Z46" s="38"/>
      <c r="AA46" s="35"/>
      <c r="AB46" s="38"/>
      <c r="AC46" s="35"/>
      <c r="AD46" s="38"/>
      <c r="AE46" s="35"/>
      <c r="AF46" s="38"/>
      <c r="AG46" s="35"/>
      <c r="AH46" s="38"/>
      <c r="AI46" s="35"/>
      <c r="AJ46" s="38"/>
      <c r="AK46" s="40"/>
      <c r="AL46" s="36"/>
    </row>
    <row r="47" spans="1:38" ht="15" customHeight="1" x14ac:dyDescent="0.3">
      <c r="A47" s="50"/>
      <c r="B47" s="50" t="s">
        <v>9</v>
      </c>
      <c r="C47" s="34">
        <v>3875</v>
      </c>
      <c r="D47" s="44">
        <f>C47/AK47</f>
        <v>5.7212157147843302E-4</v>
      </c>
      <c r="E47" s="34">
        <v>361106</v>
      </c>
      <c r="F47" s="44">
        <f>E47/AK47</f>
        <v>5.3315234113623489E-2</v>
      </c>
      <c r="G47" s="34">
        <v>32984</v>
      </c>
      <c r="H47" s="37">
        <f>G47/AK47</f>
        <v>4.8698988164244221E-3</v>
      </c>
      <c r="I47" s="34">
        <v>127785</v>
      </c>
      <c r="J47" s="37">
        <f>I47/AK47</f>
        <v>1.8866723873902338E-2</v>
      </c>
      <c r="K47" s="34">
        <f>148457+200</f>
        <v>148657</v>
      </c>
      <c r="L47" s="37">
        <f>K47/AK47</f>
        <v>2.1948355213230818E-2</v>
      </c>
      <c r="M47" s="34">
        <f>245162+2750</f>
        <v>247912</v>
      </c>
      <c r="N47" s="37">
        <f>M47/AK47</f>
        <v>3.6602787878286781E-2</v>
      </c>
      <c r="O47" s="34">
        <f>2151186+68961</f>
        <v>2220147</v>
      </c>
      <c r="P47" s="37">
        <f>O47/AK47</f>
        <v>0.3277919975620977</v>
      </c>
      <c r="Q47" s="34">
        <v>1226051</v>
      </c>
      <c r="R47" s="37">
        <f>Q47/AK47</f>
        <v>0.18101941286005271</v>
      </c>
      <c r="S47" s="34">
        <v>186074</v>
      </c>
      <c r="T47" s="37">
        <f>S47/AK47</f>
        <v>2.7472761107426566E-2</v>
      </c>
      <c r="U47" s="34">
        <v>162517</v>
      </c>
      <c r="V47" s="37">
        <f>U47/AK47</f>
        <v>2.3994704885667226E-2</v>
      </c>
      <c r="W47" s="34">
        <f>102591+3000</f>
        <v>105591</v>
      </c>
      <c r="X47" s="37">
        <f>W47/AK47</f>
        <v>1.5589906801026895E-2</v>
      </c>
      <c r="Y47" s="34">
        <f>263580+8000</f>
        <v>271580</v>
      </c>
      <c r="Z47" s="37">
        <f>Y47/AK47</f>
        <v>4.0097232614738798E-2</v>
      </c>
      <c r="AA47" s="34">
        <v>81961</v>
      </c>
      <c r="AB47" s="37">
        <f>AA47/AK47</f>
        <v>1.2101072547082283E-2</v>
      </c>
      <c r="AC47" s="34">
        <v>54962</v>
      </c>
      <c r="AD47" s="37">
        <f>AC47/AK47</f>
        <v>8.1148247255735835E-3</v>
      </c>
      <c r="AE47" s="34">
        <v>375518</v>
      </c>
      <c r="AF47" s="37">
        <f>AE47/AK47</f>
        <v>5.5443083426693733E-2</v>
      </c>
      <c r="AG47" s="34">
        <v>1023829</v>
      </c>
      <c r="AH47" s="37">
        <f>AG47/AK47</f>
        <v>0.15116249197553358</v>
      </c>
      <c r="AI47" s="34">
        <f>112708+2000+27000+779</f>
        <v>142487</v>
      </c>
      <c r="AJ47" s="37">
        <f>AI47/AK47</f>
        <v>2.1037390027160641E-2</v>
      </c>
      <c r="AK47" s="42">
        <f>C47+E47+G47+I47+K47+M47+O47+Q47+S47+U47+W47+Y47+AA47+AC47+AE47+AG47+AI47</f>
        <v>6773036</v>
      </c>
      <c r="AL47" s="41">
        <f t="shared" si="110"/>
        <v>1</v>
      </c>
    </row>
    <row r="48" spans="1:38" ht="15" customHeight="1" x14ac:dyDescent="0.3">
      <c r="A48" s="50"/>
      <c r="B48" s="50"/>
      <c r="C48" s="35"/>
      <c r="D48" s="45"/>
      <c r="E48" s="35"/>
      <c r="F48" s="45"/>
      <c r="G48" s="35"/>
      <c r="H48" s="38"/>
      <c r="I48" s="35"/>
      <c r="J48" s="38"/>
      <c r="K48" s="35"/>
      <c r="L48" s="38"/>
      <c r="M48" s="35"/>
      <c r="N48" s="38"/>
      <c r="O48" s="35"/>
      <c r="P48" s="38"/>
      <c r="Q48" s="35"/>
      <c r="R48" s="38"/>
      <c r="S48" s="35"/>
      <c r="T48" s="38"/>
      <c r="U48" s="35"/>
      <c r="V48" s="38"/>
      <c r="W48" s="35"/>
      <c r="X48" s="38"/>
      <c r="Y48" s="35"/>
      <c r="Z48" s="38"/>
      <c r="AA48" s="35"/>
      <c r="AB48" s="38"/>
      <c r="AC48" s="35"/>
      <c r="AD48" s="38"/>
      <c r="AE48" s="35"/>
      <c r="AF48" s="38"/>
      <c r="AG48" s="35"/>
      <c r="AH48" s="38"/>
      <c r="AI48" s="35"/>
      <c r="AJ48" s="38"/>
      <c r="AK48" s="43"/>
      <c r="AL48" s="36"/>
    </row>
    <row r="49" spans="1:38" ht="15" customHeight="1" x14ac:dyDescent="0.3">
      <c r="A49" s="50"/>
      <c r="B49" s="50" t="s">
        <v>10</v>
      </c>
      <c r="C49" s="34">
        <v>3973</v>
      </c>
      <c r="D49" s="44">
        <f>C49/AK49</f>
        <v>5.8406972966377406E-4</v>
      </c>
      <c r="E49" s="34">
        <v>361393</v>
      </c>
      <c r="F49" s="44">
        <f>E49/AK49</f>
        <v>5.3128293937170973E-2</v>
      </c>
      <c r="G49" s="34">
        <v>32994</v>
      </c>
      <c r="H49" s="37">
        <f>G49/AK49</f>
        <v>4.8504396326520408E-3</v>
      </c>
      <c r="I49" s="34">
        <v>129890</v>
      </c>
      <c r="J49" s="37">
        <f>I49/AK49</f>
        <v>1.9095096195828744E-2</v>
      </c>
      <c r="K49" s="34">
        <f>153578+200</f>
        <v>153778</v>
      </c>
      <c r="L49" s="37">
        <f>K49/AK49</f>
        <v>2.2606865061222208E-2</v>
      </c>
      <c r="M49" s="34">
        <f>271812+2750</f>
        <v>274562</v>
      </c>
      <c r="N49" s="37">
        <f>M49/AK49</f>
        <v>4.0363290489792376E-2</v>
      </c>
      <c r="O49" s="34">
        <f>2153437+68717</f>
        <v>2222154</v>
      </c>
      <c r="P49" s="37">
        <f>O49/AK49</f>
        <v>0.32667830003807552</v>
      </c>
      <c r="Q49" s="34">
        <f>1211825</f>
        <v>1211825</v>
      </c>
      <c r="R49" s="37">
        <f>Q49/AK49</f>
        <v>0.17815008813234406</v>
      </c>
      <c r="S49" s="34">
        <v>191590</v>
      </c>
      <c r="T49" s="37">
        <f>S49/AK49</f>
        <v>2.8165597660780885E-2</v>
      </c>
      <c r="U49" s="34">
        <v>162640</v>
      </c>
      <c r="V49" s="37">
        <f>U49/AK49</f>
        <v>2.3909665449915983E-2</v>
      </c>
      <c r="W49" s="34">
        <f>101796+3000</f>
        <v>104796</v>
      </c>
      <c r="X49" s="37">
        <f>W49/AK49</f>
        <v>1.5406033574086297E-2</v>
      </c>
      <c r="Y49" s="34">
        <f>264178+8000</f>
        <v>272178</v>
      </c>
      <c r="Z49" s="37">
        <f>Y49/AK49</f>
        <v>4.0012819250044469E-2</v>
      </c>
      <c r="AA49" s="34">
        <v>83945</v>
      </c>
      <c r="AB49" s="37">
        <f>AA49/AK49</f>
        <v>1.2340733314026053E-2</v>
      </c>
      <c r="AC49" s="34">
        <v>57938</v>
      </c>
      <c r="AD49" s="37">
        <f>AC49/AK49</f>
        <v>8.517450792162028E-3</v>
      </c>
      <c r="AE49" s="34">
        <v>376166</v>
      </c>
      <c r="AF49" s="37">
        <f>AE49/AK49</f>
        <v>5.5300068947571911E-2</v>
      </c>
      <c r="AG49" s="34">
        <v>1019133</v>
      </c>
      <c r="AH49" s="37">
        <f>AG49/AK49</f>
        <v>0.1498224857290287</v>
      </c>
      <c r="AI49" s="34">
        <f>113535+2000+27000+780</f>
        <v>143315</v>
      </c>
      <c r="AJ49" s="37">
        <f>AI49/AK49</f>
        <v>2.1068702065633972E-2</v>
      </c>
      <c r="AK49" s="34">
        <f>C49+E49+G49+I49+K49+M49+O49+Q49+S49+U49+W49+Y49+AA49+AC49+AE49+AG49+AI49</f>
        <v>6802270</v>
      </c>
      <c r="AL49" s="41">
        <f t="shared" si="110"/>
        <v>1.0000000000000002</v>
      </c>
    </row>
    <row r="50" spans="1:38" ht="15" customHeight="1" x14ac:dyDescent="0.3">
      <c r="A50" s="50"/>
      <c r="B50" s="50"/>
      <c r="C50" s="35"/>
      <c r="D50" s="45"/>
      <c r="E50" s="35"/>
      <c r="F50" s="45"/>
      <c r="G50" s="35"/>
      <c r="H50" s="38"/>
      <c r="I50" s="35"/>
      <c r="J50" s="38"/>
      <c r="K50" s="35"/>
      <c r="L50" s="38"/>
      <c r="M50" s="35"/>
      <c r="N50" s="38"/>
      <c r="O50" s="35"/>
      <c r="P50" s="38"/>
      <c r="Q50" s="35"/>
      <c r="R50" s="38"/>
      <c r="S50" s="35"/>
      <c r="T50" s="38"/>
      <c r="U50" s="35"/>
      <c r="V50" s="38"/>
      <c r="W50" s="35"/>
      <c r="X50" s="38"/>
      <c r="Y50" s="35"/>
      <c r="Z50" s="38"/>
      <c r="AA50" s="35"/>
      <c r="AB50" s="38"/>
      <c r="AC50" s="35"/>
      <c r="AD50" s="38"/>
      <c r="AE50" s="35"/>
      <c r="AF50" s="38"/>
      <c r="AG50" s="35"/>
      <c r="AH50" s="38"/>
      <c r="AI50" s="35"/>
      <c r="AJ50" s="38"/>
      <c r="AK50" s="35"/>
      <c r="AL50" s="36"/>
    </row>
    <row r="51" spans="1:38" ht="15" customHeight="1" x14ac:dyDescent="0.3">
      <c r="A51" s="50"/>
      <c r="B51" s="50" t="s">
        <v>11</v>
      </c>
      <c r="C51" s="34">
        <v>3819</v>
      </c>
      <c r="D51" s="44">
        <f>C51/AK51</f>
        <v>5.6296752728417178E-4</v>
      </c>
      <c r="E51" s="34">
        <v>360757</v>
      </c>
      <c r="F51" s="44">
        <f>E51/AK51</f>
        <v>5.3180014726487555E-2</v>
      </c>
      <c r="G51" s="34">
        <v>32704</v>
      </c>
      <c r="H51" s="37">
        <f>G51/AK51</f>
        <v>4.8209714617181345E-3</v>
      </c>
      <c r="I51" s="34">
        <v>128875</v>
      </c>
      <c r="J51" s="37">
        <f>I51/AK51</f>
        <v>1.8997758596163299E-2</v>
      </c>
      <c r="K51" s="34">
        <f>151031+200</f>
        <v>151231</v>
      </c>
      <c r="L51" s="37">
        <f>K51/AK51</f>
        <v>2.229330770325022E-2</v>
      </c>
      <c r="M51" s="34">
        <f>271564+2750</f>
        <v>274314</v>
      </c>
      <c r="N51" s="37">
        <f>M51/AK51</f>
        <v>4.0437254328209035E-2</v>
      </c>
      <c r="O51" s="34">
        <f>2153759+68564</f>
        <v>2222323</v>
      </c>
      <c r="P51" s="37">
        <f>O51/AK51</f>
        <v>0.32759771776295954</v>
      </c>
      <c r="Q51" s="34">
        <v>1211768</v>
      </c>
      <c r="R51" s="37">
        <f>Q51/AK51</f>
        <v>0.17862949321866622</v>
      </c>
      <c r="S51" s="34">
        <v>185927</v>
      </c>
      <c r="T51" s="37">
        <f>S51/AK51</f>
        <v>2.7407924442357741E-2</v>
      </c>
      <c r="U51" s="34">
        <v>160808</v>
      </c>
      <c r="V51" s="37">
        <f>U51/AK51</f>
        <v>2.370507518395211E-2</v>
      </c>
      <c r="W51" s="34">
        <f>101344+3000</f>
        <v>104344</v>
      </c>
      <c r="X51" s="37">
        <f>W51/AK51</f>
        <v>1.5381587763011162E-2</v>
      </c>
      <c r="Y51" s="34">
        <f>264198+8000</f>
        <v>272198</v>
      </c>
      <c r="Z51" s="37">
        <f>Y51/AK51</f>
        <v>4.0125329927126738E-2</v>
      </c>
      <c r="AA51" s="34">
        <v>83813</v>
      </c>
      <c r="AB51" s="37">
        <f>AA51/AK51</f>
        <v>1.2355066081243335E-2</v>
      </c>
      <c r="AC51" s="34">
        <v>57855</v>
      </c>
      <c r="AD51" s="37">
        <f>AC51/AK51</f>
        <v>8.528537913334841E-3</v>
      </c>
      <c r="AE51" s="34">
        <v>375327</v>
      </c>
      <c r="AF51" s="37">
        <f>AE51/AK51</f>
        <v>5.532781176040491E-2</v>
      </c>
      <c r="AG51" s="34">
        <v>1014544</v>
      </c>
      <c r="AH51" s="37">
        <f>AG51/AK51</f>
        <v>0.14955625216051135</v>
      </c>
      <c r="AI51" s="34">
        <f>778+27000+2000+113310</f>
        <v>143088</v>
      </c>
      <c r="AJ51" s="37">
        <f>AI51/AK51</f>
        <v>2.1092929443319607E-2</v>
      </c>
      <c r="AK51" s="34">
        <f>C51+E51+G51+I51+K51+M51+O51+Q51+S51+U51+W51+Y51+AA51+AC51+AE51+AG51+AI51</f>
        <v>6783695</v>
      </c>
      <c r="AL51" s="41">
        <f t="shared" si="110"/>
        <v>1</v>
      </c>
    </row>
    <row r="52" spans="1:38" ht="15" customHeight="1" x14ac:dyDescent="0.3">
      <c r="A52" s="50"/>
      <c r="B52" s="50"/>
      <c r="C52" s="35"/>
      <c r="D52" s="45"/>
      <c r="E52" s="35"/>
      <c r="F52" s="45"/>
      <c r="G52" s="35"/>
      <c r="H52" s="38"/>
      <c r="I52" s="35"/>
      <c r="J52" s="38"/>
      <c r="K52" s="35"/>
      <c r="L52" s="38"/>
      <c r="M52" s="35"/>
      <c r="N52" s="38"/>
      <c r="O52" s="35"/>
      <c r="P52" s="38"/>
      <c r="Q52" s="35"/>
      <c r="R52" s="38"/>
      <c r="S52" s="35"/>
      <c r="T52" s="38"/>
      <c r="U52" s="35"/>
      <c r="V52" s="38"/>
      <c r="W52" s="35"/>
      <c r="X52" s="38"/>
      <c r="Y52" s="35"/>
      <c r="Z52" s="38"/>
      <c r="AA52" s="35"/>
      <c r="AB52" s="38"/>
      <c r="AC52" s="35"/>
      <c r="AD52" s="38"/>
      <c r="AE52" s="35"/>
      <c r="AF52" s="38"/>
      <c r="AG52" s="35"/>
      <c r="AH52" s="38"/>
      <c r="AI52" s="35"/>
      <c r="AJ52" s="38"/>
      <c r="AK52" s="35"/>
      <c r="AL52" s="36"/>
    </row>
    <row r="53" spans="1:38" ht="15" customHeight="1" x14ac:dyDescent="0.3">
      <c r="A53" s="50"/>
      <c r="B53" s="50" t="s">
        <v>12</v>
      </c>
      <c r="C53" s="34">
        <v>3897</v>
      </c>
      <c r="D53" s="44">
        <f>C53/AK53</f>
        <v>5.7240925690203357E-4</v>
      </c>
      <c r="E53" s="34">
        <v>361518</v>
      </c>
      <c r="F53" s="44">
        <f>E53/AK53</f>
        <v>5.3101424104877948E-2</v>
      </c>
      <c r="G53" s="34">
        <v>32750</v>
      </c>
      <c r="H53" s="37">
        <f>G53/AK53</f>
        <v>4.8104704037828074E-3</v>
      </c>
      <c r="I53" s="34">
        <v>130886</v>
      </c>
      <c r="J53" s="37">
        <f>I53/AK53</f>
        <v>1.922513677158829E-2</v>
      </c>
      <c r="K53" s="34">
        <f>155161+200</f>
        <v>155361</v>
      </c>
      <c r="L53" s="37">
        <f>K53/AK53</f>
        <v>2.2820137172583226E-2</v>
      </c>
      <c r="M53" s="34">
        <f>271662+2750</f>
        <v>274412</v>
      </c>
      <c r="N53" s="37">
        <f>M53/AK53</f>
        <v>4.0306894792148017E-2</v>
      </c>
      <c r="O53" s="34">
        <f>2155428+68564</f>
        <v>2223992</v>
      </c>
      <c r="P53" s="37">
        <f>O53/AK53</f>
        <v>0.32667015860304527</v>
      </c>
      <c r="Q53" s="34">
        <v>1213102</v>
      </c>
      <c r="R53" s="37">
        <f>Q53/AK53</f>
        <v>0.17818599290899942</v>
      </c>
      <c r="S53" s="34">
        <v>192051</v>
      </c>
      <c r="T53" s="37">
        <f>S53/AK53</f>
        <v>2.8209332870744789E-2</v>
      </c>
      <c r="U53" s="34">
        <v>161049</v>
      </c>
      <c r="V53" s="37">
        <f>U53/AK53</f>
        <v>2.3655616734620376E-2</v>
      </c>
      <c r="W53" s="34">
        <f>101372+3000</f>
        <v>104372</v>
      </c>
      <c r="X53" s="37">
        <f>W53/AK53</f>
        <v>1.5330638686522721E-2</v>
      </c>
      <c r="Y53" s="34">
        <f>264228+8000</f>
        <v>272228</v>
      </c>
      <c r="Z53" s="37">
        <f>Y53/AK53</f>
        <v>3.9986098842167514E-2</v>
      </c>
      <c r="AA53" s="34">
        <v>85836</v>
      </c>
      <c r="AB53" s="37">
        <f>AA53/AK53</f>
        <v>1.2607985880277894E-2</v>
      </c>
      <c r="AC53" s="34">
        <v>58040</v>
      </c>
      <c r="AD53" s="37">
        <f>AC53/AK53</f>
        <v>8.5251817476505072E-3</v>
      </c>
      <c r="AE53" s="34">
        <v>375612</v>
      </c>
      <c r="AF53" s="37">
        <f>AE53/AK53</f>
        <v>5.5171615551318096E-2</v>
      </c>
      <c r="AG53" s="34">
        <v>1014838</v>
      </c>
      <c r="AH53" s="37">
        <f>AG53/AK53</f>
        <v>0.14906406606516448</v>
      </c>
      <c r="AI53" s="34">
        <f>118345+2000+27000+777</f>
        <v>148122</v>
      </c>
      <c r="AJ53" s="37">
        <f>AI53/AK53</f>
        <v>2.1756839607606625E-2</v>
      </c>
      <c r="AK53" s="34">
        <f>C53+E53+G53+I53+K53+M53+O53+Q53+S53+U53+W53+Y53+AA53+AC53+AE53+AG53+AI53</f>
        <v>6808066</v>
      </c>
      <c r="AL53" s="41">
        <f t="shared" si="110"/>
        <v>1</v>
      </c>
    </row>
    <row r="54" spans="1:38" ht="15" customHeight="1" x14ac:dyDescent="0.3">
      <c r="A54" s="50"/>
      <c r="B54" s="50"/>
      <c r="C54" s="35"/>
      <c r="D54" s="45"/>
      <c r="E54" s="35"/>
      <c r="F54" s="45"/>
      <c r="G54" s="35"/>
      <c r="H54" s="38"/>
      <c r="I54" s="35"/>
      <c r="J54" s="38"/>
      <c r="K54" s="35"/>
      <c r="L54" s="38"/>
      <c r="M54" s="35"/>
      <c r="N54" s="38"/>
      <c r="O54" s="35"/>
      <c r="P54" s="38"/>
      <c r="Q54" s="35"/>
      <c r="R54" s="38"/>
      <c r="S54" s="35"/>
      <c r="T54" s="38"/>
      <c r="U54" s="35"/>
      <c r="V54" s="38"/>
      <c r="W54" s="35"/>
      <c r="X54" s="38"/>
      <c r="Y54" s="35"/>
      <c r="Z54" s="38"/>
      <c r="AA54" s="35"/>
      <c r="AB54" s="38"/>
      <c r="AC54" s="35"/>
      <c r="AD54" s="38"/>
      <c r="AE54" s="35"/>
      <c r="AF54" s="38"/>
      <c r="AG54" s="35"/>
      <c r="AH54" s="38"/>
      <c r="AI54" s="35"/>
      <c r="AJ54" s="38"/>
      <c r="AK54" s="35"/>
      <c r="AL54" s="36"/>
    </row>
    <row r="55" spans="1:38" ht="15" customHeight="1" x14ac:dyDescent="0.3">
      <c r="A55" s="50"/>
      <c r="B55" s="50" t="s">
        <v>13</v>
      </c>
      <c r="C55" s="34">
        <v>3701</v>
      </c>
      <c r="D55" s="44">
        <f>C55/AK55</f>
        <v>5.4707004891258555E-4</v>
      </c>
      <c r="E55" s="34">
        <v>360829</v>
      </c>
      <c r="F55" s="44">
        <f>E55/AK55</f>
        <v>5.3336595157816628E-2</v>
      </c>
      <c r="G55" s="34">
        <v>32431</v>
      </c>
      <c r="H55" s="37">
        <f>G55/AK55</f>
        <v>4.7938472727057724E-3</v>
      </c>
      <c r="I55" s="34">
        <v>129547</v>
      </c>
      <c r="J55" s="37">
        <f>I55/AK55</f>
        <v>1.914922551377431E-2</v>
      </c>
      <c r="K55" s="34">
        <f>152972+200</f>
        <v>153172</v>
      </c>
      <c r="L55" s="37">
        <f>K55/AK55</f>
        <v>2.2641397874098503E-2</v>
      </c>
      <c r="M55" s="34">
        <f>271399+2750</f>
        <v>274149</v>
      </c>
      <c r="N55" s="37">
        <f>M55/AK55</f>
        <v>4.0523833244889604E-2</v>
      </c>
      <c r="O55" s="34">
        <f>2152844+68564</f>
        <v>2221408</v>
      </c>
      <c r="P55" s="37">
        <f>O55/AK55</f>
        <v>0.32836146533769489</v>
      </c>
      <c r="Q55" s="34">
        <v>1198034</v>
      </c>
      <c r="R55" s="37">
        <f>Q55/AK55</f>
        <v>0.17708957551443949</v>
      </c>
      <c r="S55" s="34">
        <v>189403</v>
      </c>
      <c r="T55" s="37">
        <f>S55/AK55</f>
        <v>2.7996949060845839E-2</v>
      </c>
      <c r="U55" s="34">
        <v>160842</v>
      </c>
      <c r="V55" s="37">
        <f>U55/AK55</f>
        <v>2.3775152879545552E-2</v>
      </c>
      <c r="W55" s="34">
        <f>100851+3000</f>
        <v>103851</v>
      </c>
      <c r="X55" s="37">
        <f>W55/AK55</f>
        <v>1.5350924520297467E-2</v>
      </c>
      <c r="Y55" s="34">
        <f>264178+8000</f>
        <v>272178</v>
      </c>
      <c r="Z55" s="37">
        <f>Y55/AK55</f>
        <v>4.0232486293685414E-2</v>
      </c>
      <c r="AA55" s="34">
        <v>84697</v>
      </c>
      <c r="AB55" s="37">
        <f>AA55/AK55</f>
        <v>1.2519641159889018E-2</v>
      </c>
      <c r="AC55" s="34">
        <v>57777</v>
      </c>
      <c r="AD55" s="37">
        <f>AC55/AK55</f>
        <v>8.5404123793629983E-3</v>
      </c>
      <c r="AE55" s="34">
        <v>374066</v>
      </c>
      <c r="AF55" s="37">
        <f>AE55/AK55</f>
        <v>5.5293246397334565E-2</v>
      </c>
      <c r="AG55" s="34">
        <v>1006302</v>
      </c>
      <c r="AH55" s="37">
        <f>AG55/AK55</f>
        <v>0.14874836108101397</v>
      </c>
      <c r="AI55" s="34">
        <f>112966+2000+27000+777</f>
        <v>142743</v>
      </c>
      <c r="AJ55" s="37">
        <f>AI55/AK55</f>
        <v>2.109981626369338E-2</v>
      </c>
      <c r="AK55" s="34">
        <f>C55+E55+G55+I55+K55+M55+O55+Q55+S55+U55+W55+Y55+AA55+AC55+AE55+AG55+AI55</f>
        <v>6765130</v>
      </c>
      <c r="AL55" s="41">
        <f t="shared" si="110"/>
        <v>1</v>
      </c>
    </row>
    <row r="56" spans="1:38" ht="15" customHeight="1" x14ac:dyDescent="0.3">
      <c r="A56" s="50"/>
      <c r="B56" s="50"/>
      <c r="C56" s="35"/>
      <c r="D56" s="45"/>
      <c r="E56" s="35"/>
      <c r="F56" s="45"/>
      <c r="G56" s="35"/>
      <c r="H56" s="38"/>
      <c r="I56" s="35"/>
      <c r="J56" s="38"/>
      <c r="K56" s="35"/>
      <c r="L56" s="38"/>
      <c r="M56" s="35"/>
      <c r="N56" s="38"/>
      <c r="O56" s="35"/>
      <c r="P56" s="38"/>
      <c r="Q56" s="35"/>
      <c r="R56" s="38"/>
      <c r="S56" s="35"/>
      <c r="T56" s="38"/>
      <c r="U56" s="35"/>
      <c r="V56" s="38"/>
      <c r="W56" s="35"/>
      <c r="X56" s="38"/>
      <c r="Y56" s="35"/>
      <c r="Z56" s="38"/>
      <c r="AA56" s="35"/>
      <c r="AB56" s="38"/>
      <c r="AC56" s="35"/>
      <c r="AD56" s="38"/>
      <c r="AE56" s="35"/>
      <c r="AF56" s="38"/>
      <c r="AG56" s="35"/>
      <c r="AH56" s="38"/>
      <c r="AI56" s="35"/>
      <c r="AJ56" s="38"/>
      <c r="AK56" s="35"/>
      <c r="AL56" s="36"/>
    </row>
    <row r="57" spans="1:38" ht="18.75" x14ac:dyDescent="0.3">
      <c r="B57" s="25"/>
      <c r="C57" s="26">
        <f>SUM(C33:C56)</f>
        <v>45436</v>
      </c>
      <c r="D57" s="26"/>
      <c r="E57" s="26">
        <f t="shared" ref="E57:AK57" si="111">SUM(E33:E56)</f>
        <v>4330080</v>
      </c>
      <c r="F57" s="26"/>
      <c r="G57" s="26">
        <f t="shared" si="111"/>
        <v>380370</v>
      </c>
      <c r="H57" s="26"/>
      <c r="I57" s="26">
        <f t="shared" si="111"/>
        <v>1502406</v>
      </c>
      <c r="J57" s="26"/>
      <c r="K57" s="26">
        <f t="shared" si="111"/>
        <v>1680235</v>
      </c>
      <c r="L57" s="26"/>
      <c r="M57" s="26">
        <f t="shared" si="111"/>
        <v>3058448</v>
      </c>
      <c r="N57" s="26"/>
      <c r="O57" s="26">
        <f t="shared" si="111"/>
        <v>26519664</v>
      </c>
      <c r="P57" s="26">
        <f t="shared" si="111"/>
        <v>3.9824194649853184</v>
      </c>
      <c r="Q57" s="26">
        <f t="shared" si="111"/>
        <v>13623138</v>
      </c>
      <c r="R57" s="26"/>
      <c r="S57" s="26">
        <f t="shared" si="111"/>
        <v>2011905</v>
      </c>
      <c r="T57" s="26"/>
      <c r="U57" s="26">
        <f t="shared" si="111"/>
        <v>2045218</v>
      </c>
      <c r="V57" s="26"/>
      <c r="W57" s="26">
        <f t="shared" si="111"/>
        <v>1307874</v>
      </c>
      <c r="X57" s="26"/>
      <c r="Y57" s="26">
        <f t="shared" si="111"/>
        <v>3236739</v>
      </c>
      <c r="Z57" s="26"/>
      <c r="AA57" s="26">
        <f t="shared" si="111"/>
        <v>942849</v>
      </c>
      <c r="AB57" s="26"/>
      <c r="AC57" s="26">
        <f t="shared" si="111"/>
        <v>671093</v>
      </c>
      <c r="AD57" s="26"/>
      <c r="AE57" s="26">
        <f t="shared" si="111"/>
        <v>4481572</v>
      </c>
      <c r="AF57" s="26"/>
      <c r="AG57" s="26">
        <f t="shared" si="111"/>
        <v>12341809</v>
      </c>
      <c r="AH57" s="26"/>
      <c r="AI57" s="26">
        <f t="shared" si="111"/>
        <v>1750774</v>
      </c>
      <c r="AJ57" s="26"/>
      <c r="AK57" s="26">
        <f t="shared" si="111"/>
        <v>79929610</v>
      </c>
      <c r="AL57" s="26"/>
    </row>
  </sheetData>
  <mergeCells count="486">
    <mergeCell ref="J35:J36"/>
    <mergeCell ref="I37:I38"/>
    <mergeCell ref="J37:J38"/>
    <mergeCell ref="I39:I40"/>
    <mergeCell ref="I29:K29"/>
    <mergeCell ref="E30:F31"/>
    <mergeCell ref="G30:H31"/>
    <mergeCell ref="B55:B56"/>
    <mergeCell ref="A33:A56"/>
    <mergeCell ref="C30:D31"/>
    <mergeCell ref="B43:B44"/>
    <mergeCell ref="B45:B46"/>
    <mergeCell ref="B47:B48"/>
    <mergeCell ref="B49:B50"/>
    <mergeCell ref="B51:B52"/>
    <mergeCell ref="B53:B54"/>
    <mergeCell ref="A30:B30"/>
    <mergeCell ref="B33:B34"/>
    <mergeCell ref="B35:B36"/>
    <mergeCell ref="B37:B38"/>
    <mergeCell ref="B39:B40"/>
    <mergeCell ref="B41:B42"/>
    <mergeCell ref="C33:C34"/>
    <mergeCell ref="D33:D34"/>
    <mergeCell ref="G33:G34"/>
    <mergeCell ref="H33:H34"/>
    <mergeCell ref="G45:G46"/>
    <mergeCell ref="H45:H46"/>
    <mergeCell ref="G47:G48"/>
    <mergeCell ref="G35:G36"/>
    <mergeCell ref="H35:H36"/>
    <mergeCell ref="G37:G38"/>
    <mergeCell ref="H37:H38"/>
    <mergeCell ref="G39:G40"/>
    <mergeCell ref="H39:H40"/>
    <mergeCell ref="AK30:AL31"/>
    <mergeCell ref="Y30:Z31"/>
    <mergeCell ref="AA30:AB31"/>
    <mergeCell ref="AC30:AD31"/>
    <mergeCell ref="AE30:AF31"/>
    <mergeCell ref="AG30:AH31"/>
    <mergeCell ref="AI30:AJ31"/>
    <mergeCell ref="M30:N31"/>
    <mergeCell ref="O30:P31"/>
    <mergeCell ref="Q30:R31"/>
    <mergeCell ref="S30:T31"/>
    <mergeCell ref="U30:V31"/>
    <mergeCell ref="W30:X31"/>
    <mergeCell ref="I30:J31"/>
    <mergeCell ref="K30:L31"/>
    <mergeCell ref="I33:I34"/>
    <mergeCell ref="J33:J34"/>
    <mergeCell ref="I35:I36"/>
    <mergeCell ref="J51:J52"/>
    <mergeCell ref="M49:M50"/>
    <mergeCell ref="N49:N50"/>
    <mergeCell ref="O49:O50"/>
    <mergeCell ref="K33:K34"/>
    <mergeCell ref="L33:L34"/>
    <mergeCell ref="K35:K36"/>
    <mergeCell ref="L35:L36"/>
    <mergeCell ref="K41:K42"/>
    <mergeCell ref="L41:L42"/>
    <mergeCell ref="K43:K44"/>
    <mergeCell ref="L43:L44"/>
    <mergeCell ref="K45:K46"/>
    <mergeCell ref="L45:L46"/>
    <mergeCell ref="K47:K48"/>
    <mergeCell ref="L47:L48"/>
    <mergeCell ref="K49:K50"/>
    <mergeCell ref="L49:L50"/>
    <mergeCell ref="K51:K52"/>
    <mergeCell ref="P49:P50"/>
    <mergeCell ref="G41:G42"/>
    <mergeCell ref="H41:H42"/>
    <mergeCell ref="G43:G44"/>
    <mergeCell ref="H43:H44"/>
    <mergeCell ref="H47:H48"/>
    <mergeCell ref="T37:T38"/>
    <mergeCell ref="S39:S40"/>
    <mergeCell ref="T39:T40"/>
    <mergeCell ref="S41:S42"/>
    <mergeCell ref="T41:T42"/>
    <mergeCell ref="J39:J40"/>
    <mergeCell ref="I41:I42"/>
    <mergeCell ref="J41:J42"/>
    <mergeCell ref="I43:I44"/>
    <mergeCell ref="J43:J44"/>
    <mergeCell ref="I45:I46"/>
    <mergeCell ref="J45:J46"/>
    <mergeCell ref="I47:I48"/>
    <mergeCell ref="J47:J48"/>
    <mergeCell ref="K37:K38"/>
    <mergeCell ref="L37:L38"/>
    <mergeCell ref="K39:K40"/>
    <mergeCell ref="L39:L40"/>
    <mergeCell ref="E53:E54"/>
    <mergeCell ref="F53:F54"/>
    <mergeCell ref="E55:E56"/>
    <mergeCell ref="F55:F56"/>
    <mergeCell ref="G53:G54"/>
    <mergeCell ref="H53:H54"/>
    <mergeCell ref="G55:G56"/>
    <mergeCell ref="H55:H56"/>
    <mergeCell ref="I53:I54"/>
    <mergeCell ref="J53:J54"/>
    <mergeCell ref="I55:I56"/>
    <mergeCell ref="J55:J56"/>
    <mergeCell ref="G49:G50"/>
    <mergeCell ref="H49:H50"/>
    <mergeCell ref="G51:G52"/>
    <mergeCell ref="H51:H52"/>
    <mergeCell ref="I49:I50"/>
    <mergeCell ref="J49:J50"/>
    <mergeCell ref="I51:I52"/>
    <mergeCell ref="Q51:Q52"/>
    <mergeCell ref="R51:R52"/>
    <mergeCell ref="Q53:Q54"/>
    <mergeCell ref="R53:R54"/>
    <mergeCell ref="Q55:Q56"/>
    <mergeCell ref="R55:R56"/>
    <mergeCell ref="S53:S54"/>
    <mergeCell ref="T53:T54"/>
    <mergeCell ref="S55:S56"/>
    <mergeCell ref="T55:T56"/>
    <mergeCell ref="F27:M27"/>
    <mergeCell ref="U47:U48"/>
    <mergeCell ref="V47:V48"/>
    <mergeCell ref="U49:U50"/>
    <mergeCell ref="V49:V50"/>
    <mergeCell ref="U43:U44"/>
    <mergeCell ref="V43:V44"/>
    <mergeCell ref="U45:U46"/>
    <mergeCell ref="V45:V46"/>
    <mergeCell ref="U37:U38"/>
    <mergeCell ref="V37:V38"/>
    <mergeCell ref="U39:U40"/>
    <mergeCell ref="V39:V40"/>
    <mergeCell ref="U41:U42"/>
    <mergeCell ref="V41:V42"/>
    <mergeCell ref="U33:U34"/>
    <mergeCell ref="V33:V34"/>
    <mergeCell ref="U35:U36"/>
    <mergeCell ref="V35:V36"/>
    <mergeCell ref="S33:S34"/>
    <mergeCell ref="T33:T34"/>
    <mergeCell ref="S35:S36"/>
    <mergeCell ref="T35:T36"/>
    <mergeCell ref="S37:S38"/>
    <mergeCell ref="C51:C52"/>
    <mergeCell ref="D51:D52"/>
    <mergeCell ref="D35:D36"/>
    <mergeCell ref="C35:C36"/>
    <mergeCell ref="C37:C38"/>
    <mergeCell ref="D37:D38"/>
    <mergeCell ref="C39:C40"/>
    <mergeCell ref="D39:D40"/>
    <mergeCell ref="C41:C42"/>
    <mergeCell ref="D41:D42"/>
    <mergeCell ref="C43:C44"/>
    <mergeCell ref="D43:D44"/>
    <mergeCell ref="C45:C46"/>
    <mergeCell ref="D45:D46"/>
    <mergeCell ref="C47:C48"/>
    <mergeCell ref="D47:D48"/>
    <mergeCell ref="C49:C50"/>
    <mergeCell ref="D49:D50"/>
    <mergeCell ref="C53:C54"/>
    <mergeCell ref="D53:D54"/>
    <mergeCell ref="C55:C56"/>
    <mergeCell ref="D55:D56"/>
    <mergeCell ref="E33:E34"/>
    <mergeCell ref="F33:F34"/>
    <mergeCell ref="E35:E36"/>
    <mergeCell ref="F35:F36"/>
    <mergeCell ref="E37:E38"/>
    <mergeCell ref="F37:F38"/>
    <mergeCell ref="E39:E40"/>
    <mergeCell ref="F39:F40"/>
    <mergeCell ref="E41:E42"/>
    <mergeCell ref="F41:F42"/>
    <mergeCell ref="E43:E44"/>
    <mergeCell ref="F43:F44"/>
    <mergeCell ref="E45:E46"/>
    <mergeCell ref="F45:F46"/>
    <mergeCell ref="E47:E48"/>
    <mergeCell ref="F47:F48"/>
    <mergeCell ref="E49:E50"/>
    <mergeCell ref="F49:F50"/>
    <mergeCell ref="E51:E52"/>
    <mergeCell ref="F51:F52"/>
    <mergeCell ref="L51:L52"/>
    <mergeCell ref="K53:K54"/>
    <mergeCell ref="L53:L54"/>
    <mergeCell ref="K55:K56"/>
    <mergeCell ref="L55:L56"/>
    <mergeCell ref="M55:M56"/>
    <mergeCell ref="N55:N56"/>
    <mergeCell ref="M53:M54"/>
    <mergeCell ref="N53:N54"/>
    <mergeCell ref="M51:M52"/>
    <mergeCell ref="N51:N52"/>
    <mergeCell ref="M47:M48"/>
    <mergeCell ref="N47:N48"/>
    <mergeCell ref="M45:M46"/>
    <mergeCell ref="N45:N46"/>
    <mergeCell ref="M43:M44"/>
    <mergeCell ref="N43:N44"/>
    <mergeCell ref="M41:M42"/>
    <mergeCell ref="N41:N42"/>
    <mergeCell ref="M39:M40"/>
    <mergeCell ref="N39:N40"/>
    <mergeCell ref="M37:M38"/>
    <mergeCell ref="N37:N38"/>
    <mergeCell ref="M35:M36"/>
    <mergeCell ref="N35:N36"/>
    <mergeCell ref="M33:M34"/>
    <mergeCell ref="N33:N34"/>
    <mergeCell ref="O33:O34"/>
    <mergeCell ref="P33:P34"/>
    <mergeCell ref="O35:O36"/>
    <mergeCell ref="P35:P36"/>
    <mergeCell ref="O37:O38"/>
    <mergeCell ref="P37:P38"/>
    <mergeCell ref="O39:O40"/>
    <mergeCell ref="P39:P40"/>
    <mergeCell ref="O41:O42"/>
    <mergeCell ref="P41:P42"/>
    <mergeCell ref="O43:O44"/>
    <mergeCell ref="P43:P44"/>
    <mergeCell ref="O45:O46"/>
    <mergeCell ref="P45:P46"/>
    <mergeCell ref="O47:O48"/>
    <mergeCell ref="P47:P48"/>
    <mergeCell ref="O51:O52"/>
    <mergeCell ref="P51:P52"/>
    <mergeCell ref="O53:O54"/>
    <mergeCell ref="P53:P54"/>
    <mergeCell ref="O55:O56"/>
    <mergeCell ref="P55:P56"/>
    <mergeCell ref="Q33:Q34"/>
    <mergeCell ref="R33:R34"/>
    <mergeCell ref="Q35:Q36"/>
    <mergeCell ref="R35:R36"/>
    <mergeCell ref="Q37:Q38"/>
    <mergeCell ref="R37:R38"/>
    <mergeCell ref="Q39:Q40"/>
    <mergeCell ref="R39:R40"/>
    <mergeCell ref="Q41:Q42"/>
    <mergeCell ref="R41:R42"/>
    <mergeCell ref="Q43:Q44"/>
    <mergeCell ref="R43:R44"/>
    <mergeCell ref="Q45:Q46"/>
    <mergeCell ref="R45:R46"/>
    <mergeCell ref="Q47:Q48"/>
    <mergeCell ref="R47:R48"/>
    <mergeCell ref="Q49:Q50"/>
    <mergeCell ref="R49:R50"/>
    <mergeCell ref="S43:S44"/>
    <mergeCell ref="T43:T44"/>
    <mergeCell ref="S45:S46"/>
    <mergeCell ref="T45:T46"/>
    <mergeCell ref="S47:S48"/>
    <mergeCell ref="T47:T48"/>
    <mergeCell ref="S49:S50"/>
    <mergeCell ref="T49:T50"/>
    <mergeCell ref="S51:S52"/>
    <mergeCell ref="T51:T52"/>
    <mergeCell ref="U51:U52"/>
    <mergeCell ref="V51:V52"/>
    <mergeCell ref="U53:U54"/>
    <mergeCell ref="V53:V54"/>
    <mergeCell ref="U55:U56"/>
    <mergeCell ref="V55:V56"/>
    <mergeCell ref="W33:W34"/>
    <mergeCell ref="X33:X34"/>
    <mergeCell ref="W35:W36"/>
    <mergeCell ref="X35:X36"/>
    <mergeCell ref="W37:W38"/>
    <mergeCell ref="X37:X38"/>
    <mergeCell ref="W39:W40"/>
    <mergeCell ref="X39:X40"/>
    <mergeCell ref="W41:W42"/>
    <mergeCell ref="X41:X42"/>
    <mergeCell ref="W43:W44"/>
    <mergeCell ref="X43:X44"/>
    <mergeCell ref="W45:W46"/>
    <mergeCell ref="X45:X46"/>
    <mergeCell ref="W47:W48"/>
    <mergeCell ref="X47:X48"/>
    <mergeCell ref="W49:W50"/>
    <mergeCell ref="X49:X50"/>
    <mergeCell ref="W51:W52"/>
    <mergeCell ref="X51:X52"/>
    <mergeCell ref="W53:W54"/>
    <mergeCell ref="X53:X54"/>
    <mergeCell ref="W55:W56"/>
    <mergeCell ref="X55:X56"/>
    <mergeCell ref="Y33:Y34"/>
    <mergeCell ref="Z33:Z34"/>
    <mergeCell ref="Y35:Y36"/>
    <mergeCell ref="Z35:Z36"/>
    <mergeCell ref="Y37:Y38"/>
    <mergeCell ref="Z37:Z38"/>
    <mergeCell ref="Y39:Y40"/>
    <mergeCell ref="Z39:Z40"/>
    <mergeCell ref="Y41:Y42"/>
    <mergeCell ref="Z41:Z42"/>
    <mergeCell ref="Y43:Y44"/>
    <mergeCell ref="Z43:Z44"/>
    <mergeCell ref="Y45:Y46"/>
    <mergeCell ref="Z45:Z46"/>
    <mergeCell ref="Y47:Y48"/>
    <mergeCell ref="Z47:Z48"/>
    <mergeCell ref="Y49:Y50"/>
    <mergeCell ref="Z49:Z50"/>
    <mergeCell ref="Y51:Y52"/>
    <mergeCell ref="Z51:Z52"/>
    <mergeCell ref="Y53:Y54"/>
    <mergeCell ref="Z53:Z54"/>
    <mergeCell ref="Y55:Y56"/>
    <mergeCell ref="Z55:Z56"/>
    <mergeCell ref="AA33:AA34"/>
    <mergeCell ref="AB33:AB34"/>
    <mergeCell ref="AA35:AA36"/>
    <mergeCell ref="AB35:AB36"/>
    <mergeCell ref="AA37:AA38"/>
    <mergeCell ref="AB37:AB38"/>
    <mergeCell ref="AA39:AA40"/>
    <mergeCell ref="AB39:AB40"/>
    <mergeCell ref="AA41:AA42"/>
    <mergeCell ref="AB41:AB42"/>
    <mergeCell ref="AA43:AA44"/>
    <mergeCell ref="AB43:AB44"/>
    <mergeCell ref="AA45:AA46"/>
    <mergeCell ref="AB45:AB46"/>
    <mergeCell ref="AA47:AA48"/>
    <mergeCell ref="AB47:AB48"/>
    <mergeCell ref="AA49:AA50"/>
    <mergeCell ref="AB49:AB50"/>
    <mergeCell ref="AA51:AA52"/>
    <mergeCell ref="AB51:AB52"/>
    <mergeCell ref="AA53:AA54"/>
    <mergeCell ref="AB53:AB54"/>
    <mergeCell ref="AA55:AA56"/>
    <mergeCell ref="AB55:AB56"/>
    <mergeCell ref="AC33:AC34"/>
    <mergeCell ref="AD33:AD34"/>
    <mergeCell ref="AC35:AC36"/>
    <mergeCell ref="AD35:AD36"/>
    <mergeCell ref="AC37:AC38"/>
    <mergeCell ref="AD37:AD38"/>
    <mergeCell ref="AC39:AC40"/>
    <mergeCell ref="AD39:AD40"/>
    <mergeCell ref="AC41:AC42"/>
    <mergeCell ref="AD41:AD42"/>
    <mergeCell ref="AC43:AC44"/>
    <mergeCell ref="AD43:AD44"/>
    <mergeCell ref="AC45:AC46"/>
    <mergeCell ref="AD45:AD46"/>
    <mergeCell ref="AC47:AC48"/>
    <mergeCell ref="AD47:AD48"/>
    <mergeCell ref="AC49:AC50"/>
    <mergeCell ref="AD49:AD50"/>
    <mergeCell ref="AC51:AC52"/>
    <mergeCell ref="AD51:AD52"/>
    <mergeCell ref="AC53:AC54"/>
    <mergeCell ref="AD53:AD54"/>
    <mergeCell ref="AC55:AC56"/>
    <mergeCell ref="AD55:AD56"/>
    <mergeCell ref="AE33:AE34"/>
    <mergeCell ref="AF33:AF34"/>
    <mergeCell ref="AE35:AE36"/>
    <mergeCell ref="AF35:AF36"/>
    <mergeCell ref="AE37:AE38"/>
    <mergeCell ref="AF37:AF38"/>
    <mergeCell ref="AE39:AE40"/>
    <mergeCell ref="AF39:AF40"/>
    <mergeCell ref="AE41:AE42"/>
    <mergeCell ref="AF41:AF42"/>
    <mergeCell ref="AE43:AE44"/>
    <mergeCell ref="AF43:AF44"/>
    <mergeCell ref="AE45:AE46"/>
    <mergeCell ref="AF45:AF46"/>
    <mergeCell ref="AE47:AE48"/>
    <mergeCell ref="AF47:AF48"/>
    <mergeCell ref="AE49:AE50"/>
    <mergeCell ref="AF49:AF50"/>
    <mergeCell ref="AE51:AE52"/>
    <mergeCell ref="AF51:AF52"/>
    <mergeCell ref="AE53:AE54"/>
    <mergeCell ref="AF53:AF54"/>
    <mergeCell ref="AE55:AE56"/>
    <mergeCell ref="AF55:AF56"/>
    <mergeCell ref="AG33:AG34"/>
    <mergeCell ref="AH33:AH34"/>
    <mergeCell ref="AG35:AG36"/>
    <mergeCell ref="AH35:AH36"/>
    <mergeCell ref="AG37:AG38"/>
    <mergeCell ref="AH37:AH38"/>
    <mergeCell ref="AG39:AG40"/>
    <mergeCell ref="AH39:AH40"/>
    <mergeCell ref="AG41:AG42"/>
    <mergeCell ref="AH41:AH42"/>
    <mergeCell ref="AG43:AG44"/>
    <mergeCell ref="AH43:AH44"/>
    <mergeCell ref="AG45:AG46"/>
    <mergeCell ref="AH45:AH46"/>
    <mergeCell ref="AG47:AG48"/>
    <mergeCell ref="AH47:AH48"/>
    <mergeCell ref="AG49:AG50"/>
    <mergeCell ref="AH49:AH50"/>
    <mergeCell ref="AG55:AG56"/>
    <mergeCell ref="AH55:AH56"/>
    <mergeCell ref="AG53:AG54"/>
    <mergeCell ref="AH53:AH54"/>
    <mergeCell ref="AI33:AI34"/>
    <mergeCell ref="AJ33:AJ34"/>
    <mergeCell ref="AI35:AI36"/>
    <mergeCell ref="AJ35:AJ36"/>
    <mergeCell ref="AI37:AI38"/>
    <mergeCell ref="AJ37:AJ38"/>
    <mergeCell ref="AI39:AI40"/>
    <mergeCell ref="AJ39:AJ40"/>
    <mergeCell ref="AI41:AI42"/>
    <mergeCell ref="AJ41:AJ42"/>
    <mergeCell ref="AI43:AI44"/>
    <mergeCell ref="AJ43:AJ44"/>
    <mergeCell ref="AI45:AI46"/>
    <mergeCell ref="AJ45:AJ46"/>
    <mergeCell ref="AI47:AI48"/>
    <mergeCell ref="AJ47:AJ48"/>
    <mergeCell ref="AI49:AI50"/>
    <mergeCell ref="AJ49:AJ50"/>
    <mergeCell ref="AK43:AK44"/>
    <mergeCell ref="AL43:AL44"/>
    <mergeCell ref="AK45:AK46"/>
    <mergeCell ref="AL45:AL46"/>
    <mergeCell ref="AK47:AK48"/>
    <mergeCell ref="AL47:AL48"/>
    <mergeCell ref="AK49:AK50"/>
    <mergeCell ref="AL49:AL50"/>
    <mergeCell ref="AG51:AG52"/>
    <mergeCell ref="AH51:AH52"/>
    <mergeCell ref="AK51:AK52"/>
    <mergeCell ref="AL51:AL52"/>
    <mergeCell ref="AK33:AK34"/>
    <mergeCell ref="AL33:AL34"/>
    <mergeCell ref="AK35:AK36"/>
    <mergeCell ref="AL35:AL36"/>
    <mergeCell ref="AK37:AK38"/>
    <mergeCell ref="AL37:AL38"/>
    <mergeCell ref="AK39:AK40"/>
    <mergeCell ref="AL39:AL40"/>
    <mergeCell ref="AK41:AK42"/>
    <mergeCell ref="AL41:AL42"/>
    <mergeCell ref="AK53:AK54"/>
    <mergeCell ref="AL53:AL54"/>
    <mergeCell ref="AK55:AK56"/>
    <mergeCell ref="AL55:AL56"/>
    <mergeCell ref="AI51:AI52"/>
    <mergeCell ref="AJ51:AJ52"/>
    <mergeCell ref="AI53:AI54"/>
    <mergeCell ref="AJ53:AJ54"/>
    <mergeCell ref="AI55:AI56"/>
    <mergeCell ref="AJ55:AJ56"/>
    <mergeCell ref="A7:A19"/>
    <mergeCell ref="AK4:AL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4:B4"/>
    <mergeCell ref="C4:D5"/>
    <mergeCell ref="E4:F5"/>
    <mergeCell ref="G4:H5"/>
    <mergeCell ref="I4:J5"/>
    <mergeCell ref="K4:L5"/>
    <mergeCell ref="M4:N5"/>
    <mergeCell ref="O4:P5"/>
    <mergeCell ref="Q4:R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Risques par secteur d'activité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Georges GBANAMOU</cp:lastModifiedBy>
  <dcterms:created xsi:type="dcterms:W3CDTF">2019-01-31T14:19:56Z</dcterms:created>
  <dcterms:modified xsi:type="dcterms:W3CDTF">2020-02-18T12:04:01Z</dcterms:modified>
</cp:coreProperties>
</file>